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_TransNorthern\Aircraft\Cessna 207\N75773\"/>
    </mc:Choice>
  </mc:AlternateContent>
  <xr:revisionPtr revIDLastSave="0" documentId="13_ncr:1_{8F000382-D431-449B-8711-29DAABE1A6E0}" xr6:coauthVersionLast="47" xr6:coauthVersionMax="47" xr10:uidLastSave="{00000000-0000-0000-0000-000000000000}"/>
  <bookViews>
    <workbookView xWindow="4665" yWindow="0" windowWidth="7185" windowHeight="14505" xr2:uid="{D2C491DA-E610-439F-83B2-6FF1F1738522}"/>
  </bookViews>
  <sheets>
    <sheet name="Calculator" sheetId="1" r:id="rId1"/>
    <sheet name="Data" sheetId="2" r:id="rId2"/>
  </sheets>
  <definedNames>
    <definedName name="Variable1">Data!$E$30</definedName>
    <definedName name="Variable2">Data!$E$70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9" i="1"/>
  <c r="F4" i="1"/>
  <c r="C8" i="1"/>
  <c r="G19" i="2"/>
  <c r="V32" i="2"/>
  <c r="F10" i="2"/>
  <c r="C4" i="1"/>
  <c r="F18" i="1"/>
  <c r="F19" i="1"/>
  <c r="F20" i="1"/>
  <c r="F21" i="1"/>
  <c r="F22" i="1"/>
  <c r="F23" i="1"/>
  <c r="F24" i="1"/>
  <c r="F25" i="1"/>
  <c r="F26" i="1"/>
  <c r="E18" i="1"/>
  <c r="E19" i="1"/>
  <c r="E20" i="1"/>
  <c r="E21" i="1"/>
  <c r="E22" i="1"/>
  <c r="E23" i="1"/>
  <c r="E24" i="1"/>
  <c r="E25" i="1"/>
  <c r="E26" i="1"/>
  <c r="F17" i="1"/>
  <c r="E17" i="1"/>
  <c r="U21" i="2"/>
  <c r="U22" i="2" s="1"/>
  <c r="U23" i="2" s="1"/>
  <c r="U24" i="2" s="1"/>
  <c r="U25" i="2" s="1"/>
  <c r="U26" i="2" s="1"/>
  <c r="U27" i="2" s="1"/>
  <c r="U28" i="2" s="1"/>
  <c r="U29" i="2" s="1"/>
  <c r="U30" i="2" s="1"/>
  <c r="W20" i="2"/>
  <c r="W19" i="2"/>
  <c r="F19" i="2" l="1"/>
  <c r="W21" i="2"/>
  <c r="V21" i="2"/>
  <c r="W23" i="2"/>
  <c r="W22" i="2"/>
  <c r="V22" i="2" s="1"/>
  <c r="Q6" i="2"/>
  <c r="J15" i="2"/>
  <c r="C12" i="1" s="1"/>
  <c r="F4" i="2"/>
  <c r="F5" i="2"/>
  <c r="F6" i="2"/>
  <c r="F7" i="2"/>
  <c r="F8" i="2"/>
  <c r="F11" i="2"/>
  <c r="F12" i="2"/>
  <c r="F13" i="2"/>
  <c r="F14" i="2"/>
  <c r="F15" i="2"/>
  <c r="F16" i="2"/>
  <c r="G11" i="1"/>
  <c r="C69" i="2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E70" i="2"/>
  <c r="E30" i="2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C13" i="1" l="1"/>
  <c r="F18" i="2"/>
  <c r="F13" i="1"/>
  <c r="V23" i="2"/>
  <c r="F3" i="2" s="1"/>
  <c r="W24" i="2"/>
  <c r="F9" i="2"/>
  <c r="F17" i="2" s="1"/>
  <c r="G12" i="1" l="1"/>
  <c r="G18" i="2" s="1"/>
  <c r="W25" i="2"/>
  <c r="V24" i="2"/>
  <c r="G10" i="1"/>
  <c r="W26" i="2" l="1"/>
  <c r="V25" i="2"/>
  <c r="E25" i="2" l="1"/>
  <c r="G14" i="1" s="1"/>
  <c r="W27" i="2"/>
  <c r="V26" i="2"/>
  <c r="V27" i="2" l="1"/>
  <c r="W28" i="2"/>
  <c r="W29" i="2" l="1"/>
  <c r="V28" i="2"/>
  <c r="V29" i="2" l="1"/>
  <c r="W30" i="2"/>
  <c r="V30" i="2" s="1"/>
</calcChain>
</file>

<file path=xl/sharedStrings.xml><?xml version="1.0" encoding="utf-8"?>
<sst xmlns="http://schemas.openxmlformats.org/spreadsheetml/2006/main" count="133" uniqueCount="118">
  <si>
    <t>N75773 CFG</t>
  </si>
  <si>
    <t>FWD Baggage</t>
  </si>
  <si>
    <t>Seats 1/2</t>
  </si>
  <si>
    <t>Seats 3/4</t>
  </si>
  <si>
    <t>Seats 5/6</t>
  </si>
  <si>
    <t>AFT Baggage</t>
  </si>
  <si>
    <t>Pilot &amp; Copilot Only</t>
  </si>
  <si>
    <t>Seats 1,2,3,4,6</t>
  </si>
  <si>
    <t>Seats 1,2,4</t>
  </si>
  <si>
    <t>Seats 1,2</t>
  </si>
  <si>
    <t>Seats 1</t>
  </si>
  <si>
    <t>Seats 1,2,3,4,5,6</t>
  </si>
  <si>
    <t>Seats 1,2,3,4</t>
  </si>
  <si>
    <t>Pilot Only</t>
  </si>
  <si>
    <t>Seats 2,4,6</t>
  </si>
  <si>
    <t>Seats 2,4</t>
  </si>
  <si>
    <t>Seat 1/2</t>
  </si>
  <si>
    <t>Seat 3/4</t>
  </si>
  <si>
    <t>Seat 5/6</t>
  </si>
  <si>
    <t>Fuel-gal</t>
  </si>
  <si>
    <t>As Loaded</t>
  </si>
  <si>
    <t>Pilot/Copilot</t>
  </si>
  <si>
    <t>Moments</t>
  </si>
  <si>
    <t>Aircraft</t>
  </si>
  <si>
    <t>Fuel</t>
  </si>
  <si>
    <t>Cargo A</t>
  </si>
  <si>
    <t>Cargo B</t>
  </si>
  <si>
    <t>Cargo C</t>
  </si>
  <si>
    <t>Cargo D</t>
  </si>
  <si>
    <t>A/C Weight</t>
  </si>
  <si>
    <t>P/CP Seats</t>
  </si>
  <si>
    <t>Fuel In Pounds</t>
  </si>
  <si>
    <t>Weight</t>
  </si>
  <si>
    <t>Fwd Limit</t>
  </si>
  <si>
    <t>Variable 1</t>
  </si>
  <si>
    <t>Variable 2</t>
  </si>
  <si>
    <t>C.G. Range -&gt;</t>
  </si>
  <si>
    <t>C.G. -&gt;</t>
  </si>
  <si>
    <t>C.G. Claculation boxes</t>
  </si>
  <si>
    <t>BAD</t>
  </si>
  <si>
    <t>OK</t>
  </si>
  <si>
    <t>Calcs based on 10# incruments</t>
  </si>
  <si>
    <t>As Loaded C.G. -&gt;</t>
  </si>
  <si>
    <t>Pilot</t>
  </si>
  <si>
    <t>Copilot seat</t>
  </si>
  <si>
    <t>Copilot Seat</t>
  </si>
  <si>
    <t>A/C - Empty &gt;</t>
  </si>
  <si>
    <t>&lt; - Total Moment as Loaded</t>
  </si>
  <si>
    <t>TransNorthern Aviation Cessna 207 W&amp;B Calculator</t>
  </si>
  <si>
    <t xml:space="preserve"> March 2026</t>
  </si>
  <si>
    <t>Arm</t>
  </si>
  <si>
    <t>Location</t>
  </si>
  <si>
    <t>ARM</t>
  </si>
  <si>
    <t>ONLY change cells in yellow</t>
  </si>
  <si>
    <t>&lt;- enter # from chart</t>
  </si>
  <si>
    <r>
      <rPr>
        <i/>
        <sz val="8"/>
        <color theme="1"/>
        <rFont val="Calibri"/>
        <family val="2"/>
        <scheme val="minor"/>
      </rPr>
      <t xml:space="preserve">(copilot seat is included) </t>
    </r>
    <r>
      <rPr>
        <sz val="11"/>
        <color theme="1"/>
        <rFont val="Calibri"/>
        <family val="2"/>
        <scheme val="minor"/>
      </rPr>
      <t>Pax -&gt;</t>
    </r>
  </si>
  <si>
    <t>Page 2-6 Weight Limits</t>
  </si>
  <si>
    <t>Max Wt in Baggage Comp</t>
  </si>
  <si>
    <t>Aft, Station 142 to 168  = 180</t>
  </si>
  <si>
    <t>Forward, staton -14 to 0  = 120</t>
  </si>
  <si>
    <t>Center 155</t>
  </si>
  <si>
    <t>Center -7.0</t>
  </si>
  <si>
    <t>Use -5.5 and 152.0 per Fig 6-3</t>
  </si>
  <si>
    <t>Pilot/copilot</t>
  </si>
  <si>
    <t>Rows 2 &amp; 3</t>
  </si>
  <si>
    <t>Row 4</t>
  </si>
  <si>
    <t>Weight 05/09/2014</t>
  </si>
  <si>
    <t>Seat weight ??</t>
  </si>
  <si>
    <t>each</t>
  </si>
  <si>
    <t>As weight config 1</t>
  </si>
  <si>
    <t>Remove S. G.</t>
  </si>
  <si>
    <t xml:space="preserve">Wt. </t>
  </si>
  <si>
    <t>Mom</t>
  </si>
  <si>
    <t>NOTE Seat Arms are different than Pax Arms</t>
  </si>
  <si>
    <t>Config 1 EWCG</t>
  </si>
  <si>
    <t>Config 7 Calc</t>
  </si>
  <si>
    <t>Config 8 Calc</t>
  </si>
  <si>
    <t>Config 9 Calc</t>
  </si>
  <si>
    <t>Config 10 Calc</t>
  </si>
  <si>
    <t>Seat Config weights per AFM Factory Equipment List</t>
  </si>
  <si>
    <t>Config 2 Calc (-seat 5)</t>
  </si>
  <si>
    <t>Config 3 Calc (-seat 5,6)</t>
  </si>
  <si>
    <t>Config 4 (-seat 4,5,6)</t>
  </si>
  <si>
    <t>Config 5 (-seat 3,4,5,6)</t>
  </si>
  <si>
    <t>Config 6 (-seat 2,3,4,5,6)</t>
  </si>
  <si>
    <t>A/C Empty Weight</t>
  </si>
  <si>
    <t>A/C Empty Arm</t>
  </si>
  <si>
    <t>Survival Gear</t>
  </si>
  <si>
    <t>#30 Survival Gear</t>
  </si>
  <si>
    <t>AFT</t>
  </si>
  <si>
    <t>30# Survival Gear</t>
  </si>
  <si>
    <t>NOSE</t>
  </si>
  <si>
    <t>wt</t>
  </si>
  <si>
    <t>arm</t>
  </si>
  <si>
    <t>Config      #</t>
  </si>
  <si>
    <t>Selected Config-&gt;</t>
  </si>
  <si>
    <t>&lt;- Loaded C.G.</t>
  </si>
  <si>
    <t>&lt;- Empty C.G.</t>
  </si>
  <si>
    <t>A/C - Loaded &gt;</t>
  </si>
  <si>
    <r>
      <t xml:space="preserve">Configuration         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Note:  Seat Wt. Arms are different than Pax Arms</t>
    </r>
  </si>
  <si>
    <t>Load Left -&gt;</t>
  </si>
  <si>
    <t>Utililine Drawing 0714024 13.0 lb @ 44.5" each</t>
  </si>
  <si>
    <t>Utililne Drawing 1214016 6.5 lb @ 134 each</t>
  </si>
  <si>
    <t>Utililine Drawing 1214127 8.1 lb @ 72" &amp; 106.1" each</t>
  </si>
  <si>
    <r>
      <t>AFT Baggage</t>
    </r>
    <r>
      <rPr>
        <sz val="9"/>
        <color theme="1"/>
        <rFont val="Calibri"/>
        <family val="2"/>
        <scheme val="minor"/>
      </rPr>
      <t xml:space="preserve"> </t>
    </r>
  </si>
  <si>
    <t>Max Nose with SG</t>
  </si>
  <si>
    <t>Max AFT with SC</t>
  </si>
  <si>
    <t xml:space="preserve">Max Nose </t>
  </si>
  <si>
    <t>Max AFT</t>
  </si>
  <si>
    <t>Max 120#</t>
  </si>
  <si>
    <t>Max 180#</t>
  </si>
  <si>
    <t>Max  90#</t>
  </si>
  <si>
    <t>Max 150#</t>
  </si>
  <si>
    <r>
      <rPr>
        <i/>
        <sz val="8"/>
        <color theme="1"/>
        <rFont val="Calibri"/>
        <family val="2"/>
        <scheme val="minor"/>
      </rPr>
      <t>&lt;-Max 73 usable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Total Cargo -&gt;</t>
    </r>
  </si>
  <si>
    <t>Cargo B --&gt;</t>
  </si>
  <si>
    <t>Cargo C --&gt;</t>
  </si>
  <si>
    <r>
      <t>Cargo A</t>
    </r>
    <r>
      <rPr>
        <sz val="9"/>
        <color theme="1"/>
        <rFont val="Calibri"/>
        <family val="2"/>
        <scheme val="minor"/>
      </rPr>
      <t xml:space="preserve">   --&gt;</t>
    </r>
  </si>
  <si>
    <t>Cargo D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</si>
</sst>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Aptos"/>
      <family val="2"/>
    </font>
    <font>
      <b/>
      <i/>
      <sz val="9.5"/>
      <color theme="1"/>
      <name val="Chief Blueprint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2" fontId="0" fillId="0" borderId="3" xfId="0" applyNumberFormat="1" applyBorder="1"/>
    <xf numFmtId="164" fontId="0" fillId="0" borderId="0" xfId="0" applyNumberFormat="1"/>
    <xf numFmtId="164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5" fillId="0" borderId="23" xfId="0" applyFont="1" applyBorder="1" applyAlignment="1">
      <alignment horizontal="right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5" borderId="0" xfId="0" applyFill="1"/>
    <xf numFmtId="3" fontId="0" fillId="0" borderId="0" xfId="0" applyNumberFormat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164" fontId="0" fillId="0" borderId="24" xfId="0" applyNumberForma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1" fillId="3" borderId="0" xfId="0" applyFont="1" applyFill="1" applyAlignment="1">
      <alignment horizontal="right"/>
    </xf>
    <xf numFmtId="165" fontId="0" fillId="0" borderId="0" xfId="0" applyNumberFormat="1"/>
    <xf numFmtId="165" fontId="1" fillId="3" borderId="0" xfId="0" applyNumberFormat="1" applyFont="1" applyFill="1"/>
    <xf numFmtId="2" fontId="1" fillId="3" borderId="0" xfId="0" applyNumberFormat="1" applyFont="1" applyFill="1" applyAlignment="1">
      <alignment horizontal="center"/>
    </xf>
    <xf numFmtId="2" fontId="0" fillId="0" borderId="3" xfId="0" applyNumberFormat="1" applyBorder="1" applyAlignment="1">
      <alignment horizontal="center"/>
    </xf>
    <xf numFmtId="0" fontId="12" fillId="4" borderId="0" xfId="0" applyFont="1" applyFill="1"/>
    <xf numFmtId="0" fontId="6" fillId="4" borderId="0" xfId="0" applyFont="1" applyFill="1"/>
    <xf numFmtId="3" fontId="1" fillId="3" borderId="0" xfId="0" applyNumberFormat="1" applyFont="1" applyFill="1"/>
    <xf numFmtId="165" fontId="0" fillId="0" borderId="15" xfId="0" applyNumberFormat="1" applyBorder="1"/>
    <xf numFmtId="0" fontId="0" fillId="0" borderId="3" xfId="0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" fontId="13" fillId="0" borderId="3" xfId="0" applyNumberFormat="1" applyFont="1" applyBorder="1" applyAlignment="1">
      <alignment horizontal="center"/>
    </xf>
    <xf numFmtId="0" fontId="9" fillId="4" borderId="6" xfId="0" applyFont="1" applyFill="1" applyBorder="1" applyAlignment="1" applyProtection="1">
      <alignment horizontal="center"/>
      <protection locked="0"/>
    </xf>
    <xf numFmtId="3" fontId="1" fillId="0" borderId="7" xfId="0" applyNumberFormat="1" applyFont="1" applyBorder="1" applyAlignment="1">
      <alignment horizontal="center"/>
    </xf>
    <xf numFmtId="0" fontId="0" fillId="6" borderId="47" xfId="0" applyFill="1" applyBorder="1" applyAlignment="1">
      <alignment horizontal="right"/>
    </xf>
    <xf numFmtId="0" fontId="0" fillId="0" borderId="8" xfId="0" applyBorder="1" applyAlignment="1">
      <alignment horizontal="right"/>
    </xf>
    <xf numFmtId="4" fontId="1" fillId="0" borderId="40" xfId="0" applyNumberFormat="1" applyFont="1" applyBorder="1" applyAlignment="1">
      <alignment horizontal="left"/>
    </xf>
    <xf numFmtId="3" fontId="1" fillId="0" borderId="48" xfId="0" applyNumberFormat="1" applyFont="1" applyBorder="1"/>
    <xf numFmtId="2" fontId="1" fillId="0" borderId="7" xfId="0" applyNumberFormat="1" applyFont="1" applyBorder="1" applyAlignment="1">
      <alignment horizontal="center"/>
    </xf>
    <xf numFmtId="0" fontId="12" fillId="0" borderId="27" xfId="0" applyFont="1" applyBorder="1"/>
    <xf numFmtId="0" fontId="1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right"/>
    </xf>
    <xf numFmtId="0" fontId="12" fillId="0" borderId="0" xfId="0" applyFont="1"/>
    <xf numFmtId="0" fontId="0" fillId="4" borderId="15" xfId="0" applyFill="1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8" fillId="4" borderId="36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38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>
      <alignment horizontal="left"/>
    </xf>
    <xf numFmtId="0" fontId="0" fillId="0" borderId="14" xfId="0" applyBorder="1" applyAlignment="1" applyProtection="1">
      <alignment horizontal="right"/>
      <protection locked="0"/>
    </xf>
    <xf numFmtId="0" fontId="0" fillId="0" borderId="26" xfId="0" applyBorder="1" applyAlignment="1">
      <alignment horizontal="right"/>
    </xf>
    <xf numFmtId="0" fontId="0" fillId="0" borderId="15" xfId="0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0" fillId="0" borderId="14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15" xfId="0" applyBorder="1"/>
    <xf numFmtId="3" fontId="0" fillId="0" borderId="16" xfId="0" applyNumberForma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0" fillId="0" borderId="49" xfId="0" applyNumberFormat="1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14" fillId="5" borderId="2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33"/>
      <color rgb="FF00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21</xdr:row>
      <xdr:rowOff>142874</xdr:rowOff>
    </xdr:from>
    <xdr:to>
      <xdr:col>15</xdr:col>
      <xdr:colOff>66674</xdr:colOff>
      <xdr:row>45</xdr:row>
      <xdr:rowOff>69014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FA4BC2-771B-4969-A723-A3D43D9C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0050" y="4190999"/>
          <a:ext cx="6438899" cy="450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599565</xdr:colOff>
      <xdr:row>0</xdr:row>
      <xdr:rowOff>76711</xdr:rowOff>
    </xdr:from>
    <xdr:to>
      <xdr:col>23</xdr:col>
      <xdr:colOff>272515</xdr:colOff>
      <xdr:row>9</xdr:row>
      <xdr:rowOff>186788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D7659D-B3D6-DF97-E2E6-CD4E1BF13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811126" y="-571500"/>
          <a:ext cx="1862677" cy="315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EC7E-6EC7-4DB9-A1A5-741DE37E3BF5}">
  <dimension ref="B2:Q34"/>
  <sheetViews>
    <sheetView showGridLines="0" tabSelected="1" zoomScale="110" zoomScaleNormal="110" workbookViewId="0">
      <selection activeCell="J16" sqref="J16"/>
    </sheetView>
  </sheetViews>
  <sheetFormatPr defaultRowHeight="15" x14ac:dyDescent="0.25"/>
  <cols>
    <col min="1" max="1" width="1" customWidth="1"/>
    <col min="2" max="2" width="13.7109375" customWidth="1"/>
    <col min="3" max="3" width="6.85546875" customWidth="1"/>
    <col min="4" max="4" width="6.5703125" customWidth="1"/>
    <col min="5" max="6" width="8.42578125" customWidth="1"/>
    <col min="7" max="7" width="6.85546875" customWidth="1"/>
    <col min="8" max="8" width="7.42578125" bestFit="1" customWidth="1"/>
    <col min="9" max="9" width="9.42578125" bestFit="1" customWidth="1"/>
    <col min="10" max="10" width="20.7109375" customWidth="1"/>
    <col min="11" max="11" width="5.7109375" customWidth="1"/>
    <col min="12" max="13" width="6.7109375" customWidth="1"/>
    <col min="14" max="14" width="3.7109375" customWidth="1"/>
    <col min="15" max="15" width="13.7109375" customWidth="1"/>
  </cols>
  <sheetData>
    <row r="2" spans="2:7" ht="16.5" thickBot="1" x14ac:dyDescent="0.35">
      <c r="B2" s="76" t="s">
        <v>48</v>
      </c>
      <c r="C2" s="76"/>
      <c r="D2" s="76"/>
      <c r="E2" s="76"/>
      <c r="F2" s="76"/>
      <c r="G2" s="76"/>
    </row>
    <row r="3" spans="2:7" ht="16.5" thickTop="1" thickBot="1" x14ac:dyDescent="0.3">
      <c r="B3" s="8" t="s">
        <v>0</v>
      </c>
      <c r="C3" s="19">
        <v>3</v>
      </c>
      <c r="D3" s="79" t="s">
        <v>54</v>
      </c>
      <c r="E3" s="80"/>
      <c r="F3" s="77" t="s">
        <v>49</v>
      </c>
      <c r="G3" s="78"/>
    </row>
    <row r="4" spans="2:7" x14ac:dyDescent="0.25">
      <c r="B4" s="9" t="s">
        <v>29</v>
      </c>
      <c r="C4" s="112">
        <f>VLOOKUP(C3,D17:F27,2)</f>
        <v>2294.8000000000002</v>
      </c>
      <c r="D4" s="95" t="s">
        <v>1</v>
      </c>
      <c r="E4" s="96"/>
      <c r="F4" s="98" t="str">
        <f>IF(C11="NOSE",Data!N18,Data!N16)</f>
        <v>Max  90#</v>
      </c>
      <c r="G4" s="21">
        <v>50</v>
      </c>
    </row>
    <row r="5" spans="2:7" x14ac:dyDescent="0.25">
      <c r="B5" s="23" t="s">
        <v>43</v>
      </c>
      <c r="C5" s="20">
        <v>200</v>
      </c>
      <c r="D5" s="108" t="s">
        <v>116</v>
      </c>
      <c r="E5" s="109"/>
      <c r="F5" s="110"/>
      <c r="G5" s="22">
        <v>0</v>
      </c>
    </row>
    <row r="6" spans="2:7" x14ac:dyDescent="0.25">
      <c r="B6" s="24" t="s">
        <v>44</v>
      </c>
      <c r="C6" s="20">
        <v>180</v>
      </c>
      <c r="D6" s="108" t="s">
        <v>114</v>
      </c>
      <c r="E6" s="109"/>
      <c r="F6" s="110"/>
      <c r="G6" s="22">
        <v>0</v>
      </c>
    </row>
    <row r="7" spans="2:7" x14ac:dyDescent="0.25">
      <c r="B7" s="23" t="s">
        <v>16</v>
      </c>
      <c r="C7" s="20">
        <f>200+210</f>
        <v>410</v>
      </c>
      <c r="D7" s="108" t="s">
        <v>115</v>
      </c>
      <c r="E7" s="109"/>
      <c r="F7" s="110"/>
      <c r="G7" s="22">
        <v>0</v>
      </c>
    </row>
    <row r="8" spans="2:7" x14ac:dyDescent="0.25">
      <c r="B8" s="23" t="s">
        <v>17</v>
      </c>
      <c r="C8" s="20">
        <f>180+150</f>
        <v>330</v>
      </c>
      <c r="D8" s="108" t="s">
        <v>117</v>
      </c>
      <c r="E8" s="109"/>
      <c r="F8" s="110"/>
      <c r="G8" s="22">
        <v>65</v>
      </c>
    </row>
    <row r="9" spans="2:7" x14ac:dyDescent="0.25">
      <c r="B9" s="23" t="s">
        <v>18</v>
      </c>
      <c r="C9" s="20">
        <v>0</v>
      </c>
      <c r="D9" s="81" t="s">
        <v>104</v>
      </c>
      <c r="E9" s="82"/>
      <c r="F9" s="99" t="str">
        <f>IF(C11="NOSE",Data!N17,Data!N19)</f>
        <v>Max 180#</v>
      </c>
      <c r="G9" s="22">
        <v>0</v>
      </c>
    </row>
    <row r="10" spans="2:7" x14ac:dyDescent="0.25">
      <c r="B10" s="23" t="s">
        <v>19</v>
      </c>
      <c r="C10" s="20">
        <v>40</v>
      </c>
      <c r="D10" s="87" t="s">
        <v>113</v>
      </c>
      <c r="E10" s="88"/>
      <c r="F10" s="89"/>
      <c r="G10" s="100">
        <f>SUM(G4:G9)</f>
        <v>115</v>
      </c>
    </row>
    <row r="11" spans="2:7" x14ac:dyDescent="0.25">
      <c r="B11" s="51" t="s">
        <v>88</v>
      </c>
      <c r="C11" s="59" t="s">
        <v>91</v>
      </c>
      <c r="D11" s="105" t="s">
        <v>55</v>
      </c>
      <c r="E11" s="106"/>
      <c r="F11" s="107"/>
      <c r="G11" s="101">
        <f>SUM(C6:C9)</f>
        <v>920</v>
      </c>
    </row>
    <row r="12" spans="2:7" x14ac:dyDescent="0.25">
      <c r="B12" s="3" t="s">
        <v>20</v>
      </c>
      <c r="C12" s="111">
        <f>SUM(C4:C9,G4:G9)+Data!J15+Data!M12</f>
        <v>3799.8</v>
      </c>
      <c r="D12" s="84" t="s">
        <v>42</v>
      </c>
      <c r="E12" s="85"/>
      <c r="F12" s="85"/>
      <c r="G12" s="102">
        <f>Data!F17/C12</f>
        <v>48.829914732354332</v>
      </c>
    </row>
    <row r="13" spans="2:7" ht="15.75" thickBot="1" x14ac:dyDescent="0.3">
      <c r="B13" s="69" t="s">
        <v>100</v>
      </c>
      <c r="C13" s="113">
        <f>3800-C12</f>
        <v>0.1999999999998181</v>
      </c>
      <c r="D13" s="86" t="s">
        <v>36</v>
      </c>
      <c r="E13" s="83"/>
      <c r="F13" s="103">
        <f>VLOOKUP(C12,Data!B8:C188,2,TRUE)</f>
        <v>42.941666666666272</v>
      </c>
      <c r="G13" s="104">
        <v>49</v>
      </c>
    </row>
    <row r="14" spans="2:7" ht="16.5" thickTop="1" thickBot="1" x14ac:dyDescent="0.3">
      <c r="B14" s="74" t="s">
        <v>53</v>
      </c>
      <c r="C14" s="75"/>
      <c r="D14" s="32"/>
      <c r="E14" s="33"/>
      <c r="F14" s="61" t="s">
        <v>37</v>
      </c>
      <c r="G14" s="114" t="str">
        <f>IF(G12&lt;F13,Data!F25,Data!E25)</f>
        <v>OK</v>
      </c>
    </row>
    <row r="15" spans="2:7" ht="16.5" thickTop="1" thickBot="1" x14ac:dyDescent="0.3">
      <c r="D15" s="1"/>
    </row>
    <row r="16" spans="2:7" ht="39" customHeight="1" x14ac:dyDescent="0.25">
      <c r="B16" s="72" t="s">
        <v>99</v>
      </c>
      <c r="C16" s="73"/>
      <c r="D16" s="49" t="s">
        <v>94</v>
      </c>
      <c r="E16" s="49" t="s">
        <v>85</v>
      </c>
      <c r="F16" s="50" t="s">
        <v>86</v>
      </c>
    </row>
    <row r="17" spans="3:17" x14ac:dyDescent="0.25">
      <c r="C17" s="18" t="s">
        <v>11</v>
      </c>
      <c r="D17" s="53">
        <v>1</v>
      </c>
      <c r="E17" s="56">
        <f>Data!U21</f>
        <v>2311</v>
      </c>
      <c r="F17" s="55">
        <f>Data!V21</f>
        <v>38.454915620943311</v>
      </c>
    </row>
    <row r="18" spans="3:17" x14ac:dyDescent="0.25">
      <c r="C18" s="18" t="s">
        <v>7</v>
      </c>
      <c r="D18" s="54">
        <v>2</v>
      </c>
      <c r="E18" s="56">
        <f>Data!U22</f>
        <v>2302.9</v>
      </c>
      <c r="F18" s="55">
        <f>Data!V22</f>
        <v>38.118854487819704</v>
      </c>
    </row>
    <row r="19" spans="3:17" x14ac:dyDescent="0.25">
      <c r="C19" s="18" t="s">
        <v>12</v>
      </c>
      <c r="D19" s="54">
        <v>3</v>
      </c>
      <c r="E19" s="56">
        <f>Data!U23</f>
        <v>2294.8000000000002</v>
      </c>
      <c r="F19" s="55">
        <f>Data!V23</f>
        <v>38.253403346696878</v>
      </c>
      <c r="H19" s="27"/>
    </row>
    <row r="20" spans="3:17" x14ac:dyDescent="0.25">
      <c r="C20" s="18" t="s">
        <v>8</v>
      </c>
      <c r="D20" s="54">
        <v>4</v>
      </c>
      <c r="E20" s="56">
        <f>Data!U24</f>
        <v>2286.7000000000003</v>
      </c>
      <c r="F20" s="55">
        <f>Data!V24</f>
        <v>38.013075611142689</v>
      </c>
      <c r="Q20" s="6"/>
    </row>
    <row r="21" spans="3:17" x14ac:dyDescent="0.25">
      <c r="C21" s="18" t="s">
        <v>9</v>
      </c>
      <c r="D21" s="54">
        <v>5</v>
      </c>
      <c r="E21" s="56">
        <f>Data!U25</f>
        <v>2278.6000000000004</v>
      </c>
      <c r="F21" s="55">
        <f>Data!V25</f>
        <v>37.771039234617739</v>
      </c>
    </row>
    <row r="22" spans="3:17" x14ac:dyDescent="0.25">
      <c r="C22" s="18" t="s">
        <v>10</v>
      </c>
      <c r="D22" s="54">
        <v>6</v>
      </c>
      <c r="E22" s="56">
        <f>Data!U26</f>
        <v>2270.5000000000005</v>
      </c>
      <c r="F22" s="55">
        <f>Data!V26</f>
        <v>37.64892754899801</v>
      </c>
    </row>
    <row r="23" spans="3:17" x14ac:dyDescent="0.25">
      <c r="C23" s="18" t="s">
        <v>6</v>
      </c>
      <c r="D23" s="54">
        <v>7</v>
      </c>
      <c r="E23" s="56">
        <f>Data!U27</f>
        <v>2262.4000000000005</v>
      </c>
      <c r="F23" s="55">
        <f>Data!V27</f>
        <v>37.525941478076369</v>
      </c>
      <c r="H23" s="27"/>
    </row>
    <row r="24" spans="3:17" x14ac:dyDescent="0.25">
      <c r="C24" s="18" t="s">
        <v>13</v>
      </c>
      <c r="D24" s="54">
        <v>8</v>
      </c>
      <c r="E24" s="56">
        <f>Data!U28</f>
        <v>2249.4000000000005</v>
      </c>
      <c r="F24" s="55">
        <f>Data!V28</f>
        <v>37.485636169645232</v>
      </c>
    </row>
    <row r="25" spans="3:17" x14ac:dyDescent="0.25">
      <c r="C25" s="18" t="s">
        <v>14</v>
      </c>
      <c r="D25" s="54">
        <v>9</v>
      </c>
      <c r="E25" s="56">
        <f>Data!U29</f>
        <v>2294.8000000000006</v>
      </c>
      <c r="F25" s="55">
        <f>Data!V29</f>
        <v>37.62981087676485</v>
      </c>
    </row>
    <row r="26" spans="3:17" x14ac:dyDescent="0.25">
      <c r="C26" s="18" t="s">
        <v>15</v>
      </c>
      <c r="D26" s="54">
        <v>10</v>
      </c>
      <c r="E26" s="56">
        <f>Data!U30</f>
        <v>2288.3000000000006</v>
      </c>
      <c r="F26" s="55">
        <f>Data!V30</f>
        <v>37.367429969846597</v>
      </c>
    </row>
    <row r="27" spans="3:17" x14ac:dyDescent="0.25">
      <c r="C27" s="57"/>
    </row>
    <row r="28" spans="3:17" x14ac:dyDescent="0.25">
      <c r="C28" s="57"/>
    </row>
    <row r="29" spans="3:17" x14ac:dyDescent="0.25">
      <c r="J29" s="1"/>
    </row>
    <row r="30" spans="3:17" x14ac:dyDescent="0.25">
      <c r="J30" s="1"/>
    </row>
    <row r="31" spans="3:17" x14ac:dyDescent="0.25">
      <c r="J31" s="1"/>
    </row>
    <row r="32" spans="3:17" x14ac:dyDescent="0.25">
      <c r="J32" s="1"/>
    </row>
    <row r="33" spans="10:10" x14ac:dyDescent="0.25">
      <c r="J33" s="1"/>
    </row>
    <row r="34" spans="10:10" x14ac:dyDescent="0.25">
      <c r="J34" s="1"/>
    </row>
  </sheetData>
  <sheetProtection sheet="1" objects="1" scenarios="1"/>
  <mergeCells count="15">
    <mergeCell ref="D9:E9"/>
    <mergeCell ref="B16:C16"/>
    <mergeCell ref="B14:C14"/>
    <mergeCell ref="B2:G2"/>
    <mergeCell ref="F3:G3"/>
    <mergeCell ref="D3:E3"/>
    <mergeCell ref="D5:F5"/>
    <mergeCell ref="D6:F6"/>
    <mergeCell ref="D12:F12"/>
    <mergeCell ref="D13:E13"/>
    <mergeCell ref="D7:F7"/>
    <mergeCell ref="D8:F8"/>
    <mergeCell ref="D10:F10"/>
    <mergeCell ref="D11:F11"/>
    <mergeCell ref="D4:E4"/>
  </mergeCells>
  <conditionalFormatting sqref="C10">
    <cfRule type="expression" dxfId="10" priority="1">
      <formula>C10&gt;73</formula>
    </cfRule>
  </conditionalFormatting>
  <conditionalFormatting sqref="C13">
    <cfRule type="cellIs" dxfId="9" priority="3" operator="lessThan">
      <formula>0</formula>
    </cfRule>
    <cfRule type="cellIs" dxfId="8" priority="4" operator="lessThan">
      <formula>-55</formula>
    </cfRule>
    <cfRule type="cellIs" dxfId="7" priority="5" operator="lessThan">
      <formula>0</formula>
    </cfRule>
  </conditionalFormatting>
  <conditionalFormatting sqref="G14">
    <cfRule type="containsText" dxfId="6" priority="6" operator="containsText" text="BAD">
      <formula>NOT(ISERROR(SEARCH("BAD",G14)))</formula>
    </cfRule>
    <cfRule type="cellIs" dxfId="5" priority="7" operator="equal">
      <formula>"""BAD"""</formula>
    </cfRule>
    <cfRule type="expression" dxfId="2" priority="10">
      <formula>G14=F24</formula>
    </cfRule>
  </conditionalFormatting>
  <pageMargins left="0.7" right="0.7" top="0.75" bottom="0.75" header="0.3" footer="0.3"/>
  <pageSetup orientation="portrait" horizontalDpi="0" verticalDpi="0" r:id="rId1"/>
  <ignoredErrors>
    <ignoredError sqref="G1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BAE056C5-D01C-42AA-A32C-5FC24B4C00AB}">
            <xm:f>G14=Data!F24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" id="{FF2E1A90-EA9E-4F5C-883C-524E1316D1F3}">
            <xm:f>IF(G12&lt;F13,Data!F25,Data!E25)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1" operator="containsText" id="{FBDB7A51-C1CF-46FF-B79E-D52B08E3C8AE}">
            <xm:f>NOT(ISERROR(SEARCH(BAD,G14)))</xm:f>
            <xm:f>BAD</xm:f>
            <x14:dxf>
              <fill>
                <patternFill>
                  <bgColor theme="7" tint="-0.24994659260841701"/>
                </patternFill>
              </fill>
            </x14:dxf>
          </x14:cfRule>
          <xm:sqref>G14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52C18A-30B0-4A2F-A181-2BD0E08F4ADB}">
          <x14:formula1>
            <xm:f>Data!$L$13:$L$14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555E-EE87-4B00-A375-12C8D3EE443C}">
  <dimension ref="B2:W188"/>
  <sheetViews>
    <sheetView showGridLines="0" workbookViewId="0">
      <selection activeCell="N19" sqref="N19"/>
    </sheetView>
  </sheetViews>
  <sheetFormatPr defaultRowHeight="15" x14ac:dyDescent="0.25"/>
  <cols>
    <col min="2" max="2" width="9.140625" style="13"/>
    <col min="3" max="3" width="9.140625" style="12"/>
    <col min="4" max="4" width="5.5703125" style="1" customWidth="1"/>
    <col min="6" max="6" width="9.85546875" bestFit="1" customWidth="1"/>
    <col min="7" max="7" width="22.85546875" bestFit="1" customWidth="1"/>
    <col min="8" max="8" width="12.42578125" style="1" customWidth="1"/>
    <col min="9" max="9" width="14.140625" bestFit="1" customWidth="1"/>
    <col min="10" max="11" width="7.85546875" style="1" customWidth="1"/>
    <col min="13" max="13" width="14.140625" bestFit="1" customWidth="1"/>
    <col min="16" max="16" width="9.140625" style="1"/>
    <col min="17" max="17" width="5.5703125" style="1" bestFit="1" customWidth="1"/>
    <col min="19" max="19" width="11.7109375" customWidth="1"/>
    <col min="20" max="20" width="6" customWidth="1"/>
    <col min="21" max="21" width="7.85546875" customWidth="1"/>
    <col min="22" max="22" width="8.42578125" customWidth="1"/>
  </cols>
  <sheetData>
    <row r="2" spans="2:23" x14ac:dyDescent="0.25">
      <c r="E2" s="1"/>
      <c r="F2" s="1" t="s">
        <v>22</v>
      </c>
      <c r="I2" s="1" t="s">
        <v>51</v>
      </c>
      <c r="J2" s="1" t="s">
        <v>52</v>
      </c>
      <c r="K2"/>
      <c r="L2" s="26" t="s">
        <v>56</v>
      </c>
      <c r="M2" s="26"/>
      <c r="N2" s="26"/>
      <c r="O2" s="26"/>
      <c r="P2" s="26"/>
      <c r="Q2" s="26"/>
    </row>
    <row r="3" spans="2:23" x14ac:dyDescent="0.25">
      <c r="F3" s="16">
        <f>F19*G19</f>
        <v>87783.91</v>
      </c>
      <c r="G3" s="2" t="s">
        <v>23</v>
      </c>
      <c r="H3" s="62"/>
      <c r="I3" s="25" t="s">
        <v>1</v>
      </c>
      <c r="J3" s="5">
        <v>-5.5</v>
      </c>
      <c r="K3"/>
      <c r="L3" s="26" t="s">
        <v>57</v>
      </c>
      <c r="M3" s="26"/>
      <c r="N3" s="26"/>
      <c r="O3" s="26"/>
      <c r="P3" s="26"/>
      <c r="Q3" s="26"/>
    </row>
    <row r="4" spans="2:23" ht="15.75" thickBot="1" x14ac:dyDescent="0.3">
      <c r="F4" s="16">
        <f>Calculator!C5*J4</f>
        <v>7400</v>
      </c>
      <c r="G4" s="2" t="s">
        <v>21</v>
      </c>
      <c r="H4" s="62"/>
      <c r="I4" s="25" t="s">
        <v>30</v>
      </c>
      <c r="J4" s="5">
        <v>37</v>
      </c>
      <c r="K4"/>
      <c r="L4" s="26" t="s">
        <v>59</v>
      </c>
      <c r="M4" s="26"/>
      <c r="N4" s="26"/>
      <c r="O4" s="26"/>
      <c r="P4" s="26" t="s">
        <v>61</v>
      </c>
      <c r="Q4" s="26"/>
    </row>
    <row r="5" spans="2:23" x14ac:dyDescent="0.25">
      <c r="B5" s="90" t="s">
        <v>41</v>
      </c>
      <c r="C5" s="91"/>
      <c r="F5" s="16">
        <f>Calculator!C6*J4</f>
        <v>6660</v>
      </c>
      <c r="G5" t="s">
        <v>45</v>
      </c>
      <c r="H5" s="62"/>
      <c r="I5" s="25" t="s">
        <v>2</v>
      </c>
      <c r="J5" s="5">
        <v>72</v>
      </c>
      <c r="K5"/>
      <c r="L5" s="26" t="s">
        <v>58</v>
      </c>
      <c r="M5" s="26"/>
      <c r="N5" s="26"/>
      <c r="O5" s="26"/>
      <c r="P5" s="26" t="s">
        <v>60</v>
      </c>
      <c r="Q5" s="26"/>
    </row>
    <row r="6" spans="2:23" ht="15.75" thickBot="1" x14ac:dyDescent="0.3">
      <c r="B6" s="92"/>
      <c r="C6" s="93"/>
      <c r="F6" s="16">
        <f>Calculator!C7*J5</f>
        <v>29520</v>
      </c>
      <c r="G6" s="2" t="s">
        <v>16</v>
      </c>
      <c r="H6" s="62"/>
      <c r="I6" s="25" t="s">
        <v>3</v>
      </c>
      <c r="J6" s="5">
        <v>105</v>
      </c>
      <c r="K6"/>
      <c r="L6" s="26"/>
      <c r="M6" s="26"/>
      <c r="N6" s="26"/>
      <c r="O6" s="26"/>
      <c r="P6" s="26"/>
      <c r="Q6" s="26">
        <f>((168-142)/2)+142</f>
        <v>155</v>
      </c>
    </row>
    <row r="7" spans="2:23" x14ac:dyDescent="0.25">
      <c r="B7" s="13" t="s">
        <v>32</v>
      </c>
      <c r="C7" s="12" t="s">
        <v>33</v>
      </c>
      <c r="F7" s="16">
        <f>Calculator!C8*J6</f>
        <v>34650</v>
      </c>
      <c r="G7" s="2" t="s">
        <v>17</v>
      </c>
      <c r="H7" s="62"/>
      <c r="I7" s="25" t="s">
        <v>4</v>
      </c>
      <c r="J7" s="5">
        <v>130</v>
      </c>
      <c r="K7"/>
      <c r="L7" s="26" t="s">
        <v>62</v>
      </c>
      <c r="M7" s="26"/>
      <c r="N7" s="26"/>
      <c r="O7" s="26"/>
      <c r="P7" s="26"/>
      <c r="Q7" s="26"/>
    </row>
    <row r="8" spans="2:23" ht="15.75" thickBot="1" x14ac:dyDescent="0.3">
      <c r="B8" s="13">
        <v>2000</v>
      </c>
      <c r="C8" s="12">
        <v>31</v>
      </c>
      <c r="F8" s="16">
        <f>Calculator!C9*J7</f>
        <v>0</v>
      </c>
      <c r="G8" s="2" t="s">
        <v>18</v>
      </c>
      <c r="H8" s="62"/>
      <c r="I8" s="25" t="s">
        <v>24</v>
      </c>
      <c r="J8" s="5">
        <v>48</v>
      </c>
      <c r="K8"/>
      <c r="L8" s="1"/>
      <c r="M8" s="1"/>
      <c r="P8"/>
      <c r="Q8"/>
    </row>
    <row r="9" spans="2:23" ht="15.75" thickBot="1" x14ac:dyDescent="0.3">
      <c r="B9" s="13">
        <f>B8+10</f>
        <v>2010</v>
      </c>
      <c r="C9" s="12">
        <v>31</v>
      </c>
      <c r="F9" s="16">
        <f>J15*J8</f>
        <v>11520</v>
      </c>
      <c r="G9" s="2" t="s">
        <v>24</v>
      </c>
      <c r="H9" s="62"/>
      <c r="I9" s="25" t="s">
        <v>25</v>
      </c>
      <c r="J9" s="5">
        <v>38</v>
      </c>
      <c r="K9"/>
      <c r="L9" s="1"/>
      <c r="M9" s="28" t="s">
        <v>66</v>
      </c>
      <c r="N9" s="29"/>
      <c r="O9" s="63">
        <v>2310.98</v>
      </c>
      <c r="P9" s="30">
        <v>38.450000000000003</v>
      </c>
    </row>
    <row r="10" spans="2:23" x14ac:dyDescent="0.25">
      <c r="B10" s="13">
        <f t="shared" ref="B10:B73" si="0">B9+10</f>
        <v>2020</v>
      </c>
      <c r="C10" s="12">
        <v>31</v>
      </c>
      <c r="F10" s="16">
        <f>IF(Calculator!C11="nose",M13,M14)*M12</f>
        <v>-165</v>
      </c>
      <c r="G10" s="2" t="s">
        <v>90</v>
      </c>
      <c r="H10" s="62"/>
      <c r="I10" s="25" t="s">
        <v>26</v>
      </c>
      <c r="J10" s="7">
        <v>75</v>
      </c>
      <c r="K10"/>
      <c r="L10" s="1"/>
      <c r="M10" s="1"/>
      <c r="P10" s="36" t="s">
        <v>67</v>
      </c>
      <c r="Q10" s="36"/>
      <c r="R10" s="35"/>
    </row>
    <row r="11" spans="2:23" x14ac:dyDescent="0.25">
      <c r="B11" s="13">
        <f t="shared" si="0"/>
        <v>2030</v>
      </c>
      <c r="C11" s="12">
        <v>31</v>
      </c>
      <c r="F11" s="16">
        <f>Calculator!G4*J3</f>
        <v>-275</v>
      </c>
      <c r="G11" s="2" t="s">
        <v>1</v>
      </c>
      <c r="H11" s="62"/>
      <c r="I11" s="25" t="s">
        <v>27</v>
      </c>
      <c r="J11" s="5">
        <v>105</v>
      </c>
      <c r="K11"/>
      <c r="L11" s="94" t="s">
        <v>87</v>
      </c>
      <c r="M11" s="1"/>
      <c r="P11" s="31" t="s">
        <v>63</v>
      </c>
      <c r="Q11" s="34">
        <v>13</v>
      </c>
      <c r="R11" s="35" t="s">
        <v>68</v>
      </c>
      <c r="S11" s="70" t="s">
        <v>101</v>
      </c>
    </row>
    <row r="12" spans="2:23" x14ac:dyDescent="0.25">
      <c r="B12" s="13">
        <f t="shared" si="0"/>
        <v>2040</v>
      </c>
      <c r="C12" s="12">
        <v>31</v>
      </c>
      <c r="F12" s="16">
        <f>Calculator!G5*J9</f>
        <v>0</v>
      </c>
      <c r="G12" s="2" t="s">
        <v>25</v>
      </c>
      <c r="H12" s="62"/>
      <c r="I12" s="25" t="s">
        <v>28</v>
      </c>
      <c r="J12" s="5">
        <v>130</v>
      </c>
      <c r="K12"/>
      <c r="L12" s="94"/>
      <c r="M12" s="71">
        <v>30</v>
      </c>
      <c r="N12" t="s">
        <v>92</v>
      </c>
      <c r="P12" s="31" t="s">
        <v>64</v>
      </c>
      <c r="Q12" s="34">
        <v>8.1</v>
      </c>
      <c r="R12" s="35" t="s">
        <v>68</v>
      </c>
      <c r="S12" s="70" t="s">
        <v>103</v>
      </c>
    </row>
    <row r="13" spans="2:23" x14ac:dyDescent="0.25">
      <c r="B13" s="13">
        <f t="shared" si="0"/>
        <v>2050</v>
      </c>
      <c r="C13" s="12">
        <v>31</v>
      </c>
      <c r="F13" s="16">
        <f>Calculator!G6*J10</f>
        <v>0</v>
      </c>
      <c r="G13" s="2" t="s">
        <v>26</v>
      </c>
      <c r="H13" s="4"/>
      <c r="I13" s="25" t="s">
        <v>5</v>
      </c>
      <c r="J13" s="5">
        <v>152</v>
      </c>
      <c r="K13"/>
      <c r="L13" s="52" t="s">
        <v>91</v>
      </c>
      <c r="M13" s="48">
        <v>-5.5</v>
      </c>
      <c r="N13" t="s">
        <v>93</v>
      </c>
      <c r="P13" s="31" t="s">
        <v>65</v>
      </c>
      <c r="Q13" s="34">
        <v>6.5</v>
      </c>
      <c r="R13" s="35" t="s">
        <v>68</v>
      </c>
      <c r="S13" s="70" t="s">
        <v>102</v>
      </c>
    </row>
    <row r="14" spans="2:23" x14ac:dyDescent="0.25">
      <c r="B14" s="13">
        <f t="shared" si="0"/>
        <v>2060</v>
      </c>
      <c r="C14" s="12">
        <v>31</v>
      </c>
      <c r="F14" s="16">
        <f>Calculator!G7*J11</f>
        <v>0</v>
      </c>
      <c r="G14" s="2" t="s">
        <v>27</v>
      </c>
      <c r="H14" s="4"/>
      <c r="J14"/>
      <c r="K14"/>
      <c r="L14" s="52" t="s">
        <v>89</v>
      </c>
      <c r="M14" s="48">
        <v>158</v>
      </c>
      <c r="N14" t="s">
        <v>93</v>
      </c>
    </row>
    <row r="15" spans="2:23" x14ac:dyDescent="0.25">
      <c r="B15" s="13">
        <f t="shared" si="0"/>
        <v>2070</v>
      </c>
      <c r="C15" s="12">
        <v>31</v>
      </c>
      <c r="F15" s="16">
        <f>Calculator!G8*J12</f>
        <v>8450</v>
      </c>
      <c r="G15" s="2" t="s">
        <v>28</v>
      </c>
      <c r="H15"/>
      <c r="I15" s="25" t="s">
        <v>31</v>
      </c>
      <c r="J15" s="7">
        <f>Calculator!C10*6</f>
        <v>240</v>
      </c>
      <c r="K15"/>
      <c r="L15" s="1"/>
      <c r="M15" s="1"/>
    </row>
    <row r="16" spans="2:23" ht="15.75" thickBot="1" x14ac:dyDescent="0.3">
      <c r="B16" s="13">
        <f t="shared" si="0"/>
        <v>2080</v>
      </c>
      <c r="C16" s="12">
        <v>31</v>
      </c>
      <c r="F16" s="11">
        <f>Calculator!G9*J13</f>
        <v>0</v>
      </c>
      <c r="G16" s="2" t="s">
        <v>5</v>
      </c>
      <c r="H16"/>
      <c r="M16" s="17" t="s">
        <v>107</v>
      </c>
      <c r="N16" s="48" t="s">
        <v>109</v>
      </c>
      <c r="S16" s="44" t="s">
        <v>73</v>
      </c>
      <c r="T16" s="45"/>
      <c r="U16" s="45"/>
      <c r="V16" s="45"/>
      <c r="W16" s="38"/>
    </row>
    <row r="17" spans="2:23" x14ac:dyDescent="0.25">
      <c r="B17" s="13">
        <f t="shared" si="0"/>
        <v>2090</v>
      </c>
      <c r="C17" s="12">
        <v>31</v>
      </c>
      <c r="F17" s="64">
        <f>SUM(F3:F16)</f>
        <v>185543.91</v>
      </c>
      <c r="G17" s="66" t="s">
        <v>47</v>
      </c>
      <c r="H17"/>
      <c r="M17" s="97" t="s">
        <v>108</v>
      </c>
      <c r="N17" s="48" t="s">
        <v>110</v>
      </c>
      <c r="S17" s="37" t="s">
        <v>79</v>
      </c>
    </row>
    <row r="18" spans="2:23" x14ac:dyDescent="0.25">
      <c r="B18" s="13">
        <f t="shared" si="0"/>
        <v>2100</v>
      </c>
      <c r="C18" s="12">
        <v>31</v>
      </c>
      <c r="E18" s="17" t="s">
        <v>98</v>
      </c>
      <c r="F18" s="10">
        <f>Calculator!C12</f>
        <v>3799.8</v>
      </c>
      <c r="G18" s="43">
        <f>Calculator!G12</f>
        <v>48.829914732354332</v>
      </c>
      <c r="H18" s="1" t="s">
        <v>96</v>
      </c>
      <c r="M18" s="17" t="s">
        <v>105</v>
      </c>
      <c r="N18" s="48" t="s">
        <v>111</v>
      </c>
      <c r="U18" t="s">
        <v>71</v>
      </c>
      <c r="V18" t="s">
        <v>50</v>
      </c>
      <c r="W18" t="s">
        <v>72</v>
      </c>
    </row>
    <row r="19" spans="2:23" x14ac:dyDescent="0.25">
      <c r="B19" s="13">
        <f t="shared" si="0"/>
        <v>2110</v>
      </c>
      <c r="C19" s="12">
        <v>31</v>
      </c>
      <c r="E19" s="17" t="s">
        <v>46</v>
      </c>
      <c r="F19" s="60">
        <f>VLOOKUP(Calculator!C3,T21:V31,2)</f>
        <v>2294.8000000000002</v>
      </c>
      <c r="G19" s="65">
        <f>VLOOKUP(Calculator!C3,T21:V32,3)</f>
        <v>38.253403346696878</v>
      </c>
      <c r="H19" t="s">
        <v>97</v>
      </c>
      <c r="M19" s="97" t="s">
        <v>106</v>
      </c>
      <c r="N19" s="48" t="s">
        <v>112</v>
      </c>
      <c r="S19" s="37" t="s">
        <v>69</v>
      </c>
      <c r="U19" s="40">
        <v>2341</v>
      </c>
      <c r="V19" s="12">
        <v>39.909999999999997</v>
      </c>
      <c r="W19">
        <f>U19*V19</f>
        <v>93429.31</v>
      </c>
    </row>
    <row r="20" spans="2:23" x14ac:dyDescent="0.25">
      <c r="B20" s="13">
        <f t="shared" si="0"/>
        <v>2120</v>
      </c>
      <c r="C20" s="12">
        <v>31</v>
      </c>
      <c r="T20" s="17" t="s">
        <v>70</v>
      </c>
      <c r="U20" s="40">
        <v>-30</v>
      </c>
      <c r="V20" s="12">
        <v>152</v>
      </c>
      <c r="W20">
        <f>U20*V20</f>
        <v>-4560</v>
      </c>
    </row>
    <row r="21" spans="2:23" x14ac:dyDescent="0.25">
      <c r="B21" s="13">
        <f t="shared" si="0"/>
        <v>2130</v>
      </c>
      <c r="C21" s="12">
        <v>31</v>
      </c>
      <c r="S21" s="39" t="s">
        <v>74</v>
      </c>
      <c r="T21" s="48">
        <v>1</v>
      </c>
      <c r="U21" s="41">
        <f>U19+U20</f>
        <v>2311</v>
      </c>
      <c r="V21" s="42">
        <f>W21/U21</f>
        <v>38.454915620943311</v>
      </c>
      <c r="W21" s="46">
        <f>W19+W20</f>
        <v>88869.31</v>
      </c>
    </row>
    <row r="22" spans="2:23" x14ac:dyDescent="0.25">
      <c r="B22" s="13">
        <f t="shared" si="0"/>
        <v>2140</v>
      </c>
      <c r="C22" s="12">
        <v>31</v>
      </c>
      <c r="S22" s="17" t="s">
        <v>80</v>
      </c>
      <c r="T22" s="48">
        <v>2</v>
      </c>
      <c r="U22" s="47">
        <f t="shared" ref="U22:U27" si="1">U21-8.1</f>
        <v>2302.9</v>
      </c>
      <c r="V22" s="43">
        <f>W22/U22</f>
        <v>38.118854487819704</v>
      </c>
      <c r="W22" s="27">
        <f>W21-(134*8.1)</f>
        <v>87783.91</v>
      </c>
    </row>
    <row r="23" spans="2:23" x14ac:dyDescent="0.25">
      <c r="B23" s="13">
        <f t="shared" si="0"/>
        <v>2150</v>
      </c>
      <c r="C23" s="12">
        <v>31</v>
      </c>
      <c r="E23" t="s">
        <v>38</v>
      </c>
      <c r="S23" s="17" t="s">
        <v>81</v>
      </c>
      <c r="T23" s="48">
        <v>3</v>
      </c>
      <c r="U23" s="47">
        <f t="shared" si="1"/>
        <v>2294.8000000000002</v>
      </c>
      <c r="V23" s="43">
        <f>W23/U23</f>
        <v>38.253403346696878</v>
      </c>
      <c r="W23" s="27">
        <f>W21-(134*8.1)</f>
        <v>87783.91</v>
      </c>
    </row>
    <row r="24" spans="2:23" x14ac:dyDescent="0.25">
      <c r="B24" s="13">
        <f t="shared" si="0"/>
        <v>2160</v>
      </c>
      <c r="C24" s="12">
        <v>31</v>
      </c>
      <c r="E24" s="14"/>
      <c r="F24" s="68" t="s">
        <v>39</v>
      </c>
      <c r="S24" s="17" t="s">
        <v>82</v>
      </c>
      <c r="T24" s="48">
        <v>4</v>
      </c>
      <c r="U24" s="47">
        <f t="shared" si="1"/>
        <v>2286.7000000000003</v>
      </c>
      <c r="V24" s="43">
        <f t="shared" ref="V24:V30" si="2">W24/U24</f>
        <v>38.013075611142689</v>
      </c>
      <c r="W24" s="27">
        <f>W23-(106.1*8.1)</f>
        <v>86924.5</v>
      </c>
    </row>
    <row r="25" spans="2:23" x14ac:dyDescent="0.25">
      <c r="B25" s="13">
        <f t="shared" si="0"/>
        <v>2170</v>
      </c>
      <c r="C25" s="12">
        <v>31</v>
      </c>
      <c r="E25" s="67" t="str">
        <f>IF(Calculator!G12&gt;Calculator!G13,F24,F25)</f>
        <v>OK</v>
      </c>
      <c r="F25" s="15" t="s">
        <v>40</v>
      </c>
      <c r="S25" s="17" t="s">
        <v>83</v>
      </c>
      <c r="T25" s="48">
        <v>5</v>
      </c>
      <c r="U25" s="47">
        <f t="shared" si="1"/>
        <v>2278.6000000000004</v>
      </c>
      <c r="V25" s="43">
        <f t="shared" si="2"/>
        <v>37.771039234617739</v>
      </c>
      <c r="W25" s="27">
        <f>W24-(106.1*8.1)</f>
        <v>86065.09</v>
      </c>
    </row>
    <row r="26" spans="2:23" x14ac:dyDescent="0.25">
      <c r="B26" s="13">
        <f t="shared" si="0"/>
        <v>2180</v>
      </c>
      <c r="C26" s="12">
        <v>31</v>
      </c>
      <c r="S26" s="17" t="s">
        <v>84</v>
      </c>
      <c r="T26" s="48">
        <v>6</v>
      </c>
      <c r="U26" s="47">
        <f t="shared" si="1"/>
        <v>2270.5000000000005</v>
      </c>
      <c r="V26" s="43">
        <f t="shared" si="2"/>
        <v>37.64892754899801</v>
      </c>
      <c r="W26" s="27">
        <f>W25-(72*8.1)</f>
        <v>85481.89</v>
      </c>
    </row>
    <row r="27" spans="2:23" x14ac:dyDescent="0.25">
      <c r="B27" s="13">
        <f t="shared" si="0"/>
        <v>2190</v>
      </c>
      <c r="C27" s="12">
        <v>31</v>
      </c>
      <c r="S27" s="17" t="s">
        <v>75</v>
      </c>
      <c r="T27" s="48">
        <v>7</v>
      </c>
      <c r="U27" s="47">
        <f t="shared" si="1"/>
        <v>2262.4000000000005</v>
      </c>
      <c r="V27" s="43">
        <f t="shared" si="2"/>
        <v>37.525941478076369</v>
      </c>
      <c r="W27" s="27">
        <f>W26-(72*8.1)</f>
        <v>84898.69</v>
      </c>
    </row>
    <row r="28" spans="2:23" x14ac:dyDescent="0.25">
      <c r="B28" s="13">
        <f t="shared" si="0"/>
        <v>2200</v>
      </c>
      <c r="C28" s="12">
        <v>31</v>
      </c>
      <c r="M28" s="1"/>
      <c r="S28" s="17" t="s">
        <v>76</v>
      </c>
      <c r="T28" s="48">
        <v>8</v>
      </c>
      <c r="U28" s="47">
        <f>U27-13</f>
        <v>2249.4000000000005</v>
      </c>
      <c r="V28" s="43">
        <f t="shared" si="2"/>
        <v>37.485636169645232</v>
      </c>
      <c r="W28" s="27">
        <f>W27-(44.5*13)</f>
        <v>84320.19</v>
      </c>
    </row>
    <row r="29" spans="2:23" x14ac:dyDescent="0.25">
      <c r="B29" s="13">
        <f t="shared" si="0"/>
        <v>2210</v>
      </c>
      <c r="C29" s="12">
        <f t="shared" ref="C29:C67" si="3">C28+Variable1</f>
        <v>31.125</v>
      </c>
      <c r="D29" s="1">
        <v>1</v>
      </c>
      <c r="S29" s="17" t="s">
        <v>77</v>
      </c>
      <c r="T29" s="48">
        <v>9</v>
      </c>
      <c r="U29" s="47">
        <f>U28+(16.2+16.2+13)</f>
        <v>2294.8000000000006</v>
      </c>
      <c r="V29" s="43">
        <f t="shared" si="2"/>
        <v>37.62981087676485</v>
      </c>
      <c r="W29" s="27">
        <f>W28+(44.5*13)+(72*8.1)+(134*6.5)</f>
        <v>86352.89</v>
      </c>
    </row>
    <row r="30" spans="2:23" x14ac:dyDescent="0.25">
      <c r="B30" s="13">
        <f t="shared" si="0"/>
        <v>2220</v>
      </c>
      <c r="C30" s="12">
        <f t="shared" si="3"/>
        <v>31.25</v>
      </c>
      <c r="D30" s="1">
        <v>2</v>
      </c>
      <c r="E30" s="12">
        <f>(C68-C28)/D68</f>
        <v>0.125</v>
      </c>
      <c r="F30" t="s">
        <v>34</v>
      </c>
      <c r="S30" s="17" t="s">
        <v>78</v>
      </c>
      <c r="T30" s="48">
        <v>10</v>
      </c>
      <c r="U30" s="47">
        <f>U29-6.5</f>
        <v>2288.3000000000006</v>
      </c>
      <c r="V30" s="43">
        <f t="shared" si="2"/>
        <v>37.367429969846597</v>
      </c>
      <c r="W30" s="27">
        <f>W29-(130*6.5)</f>
        <v>85507.89</v>
      </c>
    </row>
    <row r="31" spans="2:23" x14ac:dyDescent="0.25">
      <c r="B31" s="13">
        <f t="shared" si="0"/>
        <v>2230</v>
      </c>
      <c r="C31" s="12">
        <f t="shared" si="3"/>
        <v>31.375</v>
      </c>
      <c r="D31" s="1">
        <v>3</v>
      </c>
      <c r="U31" s="27"/>
    </row>
    <row r="32" spans="2:23" ht="15.75" x14ac:dyDescent="0.25">
      <c r="B32" s="13">
        <f t="shared" si="0"/>
        <v>2240</v>
      </c>
      <c r="C32" s="12">
        <f t="shared" si="3"/>
        <v>31.5</v>
      </c>
      <c r="D32" s="1">
        <v>4</v>
      </c>
      <c r="S32" s="85" t="s">
        <v>95</v>
      </c>
      <c r="T32" s="85"/>
      <c r="U32" s="85"/>
      <c r="V32" s="58">
        <f>Calculator!C3</f>
        <v>3</v>
      </c>
    </row>
    <row r="33" spans="2:21" x14ac:dyDescent="0.25">
      <c r="B33" s="13">
        <f t="shared" si="0"/>
        <v>2250</v>
      </c>
      <c r="C33" s="12">
        <f t="shared" si="3"/>
        <v>31.625</v>
      </c>
      <c r="D33" s="1">
        <v>5</v>
      </c>
      <c r="U33" s="27"/>
    </row>
    <row r="34" spans="2:21" x14ac:dyDescent="0.25">
      <c r="B34" s="13">
        <f t="shared" si="0"/>
        <v>2260</v>
      </c>
      <c r="C34" s="12">
        <f t="shared" si="3"/>
        <v>31.75</v>
      </c>
      <c r="D34" s="1">
        <v>6</v>
      </c>
      <c r="U34" s="27"/>
    </row>
    <row r="35" spans="2:21" x14ac:dyDescent="0.25">
      <c r="B35" s="13">
        <f t="shared" si="0"/>
        <v>2270</v>
      </c>
      <c r="C35" s="12">
        <f t="shared" si="3"/>
        <v>31.875</v>
      </c>
      <c r="D35" s="1">
        <v>7</v>
      </c>
    </row>
    <row r="36" spans="2:21" x14ac:dyDescent="0.25">
      <c r="B36" s="13">
        <f t="shared" si="0"/>
        <v>2280</v>
      </c>
      <c r="C36" s="12">
        <f t="shared" si="3"/>
        <v>32</v>
      </c>
      <c r="D36" s="1">
        <v>8</v>
      </c>
    </row>
    <row r="37" spans="2:21" x14ac:dyDescent="0.25">
      <c r="B37" s="13">
        <f t="shared" si="0"/>
        <v>2290</v>
      </c>
      <c r="C37" s="12">
        <f t="shared" si="3"/>
        <v>32.125</v>
      </c>
      <c r="D37" s="1">
        <v>9</v>
      </c>
    </row>
    <row r="38" spans="2:21" x14ac:dyDescent="0.25">
      <c r="B38" s="13">
        <f t="shared" si="0"/>
        <v>2300</v>
      </c>
      <c r="C38" s="12">
        <f t="shared" si="3"/>
        <v>32.25</v>
      </c>
      <c r="D38" s="1">
        <v>10</v>
      </c>
    </row>
    <row r="39" spans="2:21" x14ac:dyDescent="0.25">
      <c r="B39" s="13">
        <f t="shared" si="0"/>
        <v>2310</v>
      </c>
      <c r="C39" s="12">
        <f t="shared" si="3"/>
        <v>32.375</v>
      </c>
      <c r="D39" s="1">
        <v>11</v>
      </c>
    </row>
    <row r="40" spans="2:21" x14ac:dyDescent="0.25">
      <c r="B40" s="13">
        <f t="shared" si="0"/>
        <v>2320</v>
      </c>
      <c r="C40" s="12">
        <f t="shared" si="3"/>
        <v>32.5</v>
      </c>
      <c r="D40" s="1">
        <v>12</v>
      </c>
    </row>
    <row r="41" spans="2:21" x14ac:dyDescent="0.25">
      <c r="B41" s="13">
        <f t="shared" si="0"/>
        <v>2330</v>
      </c>
      <c r="C41" s="12">
        <f t="shared" si="3"/>
        <v>32.625</v>
      </c>
      <c r="D41" s="1">
        <v>13</v>
      </c>
    </row>
    <row r="42" spans="2:21" x14ac:dyDescent="0.25">
      <c r="B42" s="13">
        <f t="shared" si="0"/>
        <v>2340</v>
      </c>
      <c r="C42" s="12">
        <f t="shared" si="3"/>
        <v>32.75</v>
      </c>
      <c r="D42" s="1">
        <v>14</v>
      </c>
    </row>
    <row r="43" spans="2:21" x14ac:dyDescent="0.25">
      <c r="B43" s="13">
        <f t="shared" si="0"/>
        <v>2350</v>
      </c>
      <c r="C43" s="12">
        <f t="shared" si="3"/>
        <v>32.875</v>
      </c>
      <c r="D43" s="1">
        <v>15</v>
      </c>
    </row>
    <row r="44" spans="2:21" x14ac:dyDescent="0.25">
      <c r="B44" s="13">
        <f t="shared" si="0"/>
        <v>2360</v>
      </c>
      <c r="C44" s="12">
        <f t="shared" si="3"/>
        <v>33</v>
      </c>
      <c r="D44" s="1">
        <v>16</v>
      </c>
    </row>
    <row r="45" spans="2:21" x14ac:dyDescent="0.25">
      <c r="B45" s="13">
        <f t="shared" si="0"/>
        <v>2370</v>
      </c>
      <c r="C45" s="12">
        <f t="shared" si="3"/>
        <v>33.125</v>
      </c>
      <c r="D45" s="1">
        <v>17</v>
      </c>
    </row>
    <row r="46" spans="2:21" x14ac:dyDescent="0.25">
      <c r="B46" s="13">
        <f t="shared" si="0"/>
        <v>2380</v>
      </c>
      <c r="C46" s="12">
        <f t="shared" si="3"/>
        <v>33.25</v>
      </c>
      <c r="D46" s="1">
        <v>18</v>
      </c>
    </row>
    <row r="47" spans="2:21" x14ac:dyDescent="0.25">
      <c r="B47" s="13">
        <f t="shared" si="0"/>
        <v>2390</v>
      </c>
      <c r="C47" s="12">
        <f t="shared" si="3"/>
        <v>33.375</v>
      </c>
      <c r="D47" s="1">
        <v>19</v>
      </c>
    </row>
    <row r="48" spans="2:21" x14ac:dyDescent="0.25">
      <c r="B48" s="13">
        <f t="shared" si="0"/>
        <v>2400</v>
      </c>
      <c r="C48" s="12">
        <f t="shared" si="3"/>
        <v>33.5</v>
      </c>
      <c r="D48" s="1">
        <v>20</v>
      </c>
    </row>
    <row r="49" spans="2:4" x14ac:dyDescent="0.25">
      <c r="B49" s="13">
        <f t="shared" si="0"/>
        <v>2410</v>
      </c>
      <c r="C49" s="12">
        <f t="shared" si="3"/>
        <v>33.625</v>
      </c>
      <c r="D49" s="1">
        <v>21</v>
      </c>
    </row>
    <row r="50" spans="2:4" x14ac:dyDescent="0.25">
      <c r="B50" s="13">
        <f t="shared" si="0"/>
        <v>2420</v>
      </c>
      <c r="C50" s="12">
        <f t="shared" si="3"/>
        <v>33.75</v>
      </c>
      <c r="D50" s="1">
        <v>22</v>
      </c>
    </row>
    <row r="51" spans="2:4" x14ac:dyDescent="0.25">
      <c r="B51" s="13">
        <f t="shared" si="0"/>
        <v>2430</v>
      </c>
      <c r="C51" s="12">
        <f t="shared" si="3"/>
        <v>33.875</v>
      </c>
      <c r="D51" s="1">
        <v>23</v>
      </c>
    </row>
    <row r="52" spans="2:4" x14ac:dyDescent="0.25">
      <c r="B52" s="13">
        <f t="shared" si="0"/>
        <v>2440</v>
      </c>
      <c r="C52" s="12">
        <f t="shared" si="3"/>
        <v>34</v>
      </c>
      <c r="D52" s="1">
        <v>24</v>
      </c>
    </row>
    <row r="53" spans="2:4" x14ac:dyDescent="0.25">
      <c r="B53" s="13">
        <f t="shared" si="0"/>
        <v>2450</v>
      </c>
      <c r="C53" s="12">
        <f t="shared" si="3"/>
        <v>34.125</v>
      </c>
      <c r="D53" s="1">
        <v>25</v>
      </c>
    </row>
    <row r="54" spans="2:4" x14ac:dyDescent="0.25">
      <c r="B54" s="13">
        <f t="shared" si="0"/>
        <v>2460</v>
      </c>
      <c r="C54" s="12">
        <f t="shared" si="3"/>
        <v>34.25</v>
      </c>
      <c r="D54" s="1">
        <v>26</v>
      </c>
    </row>
    <row r="55" spans="2:4" x14ac:dyDescent="0.25">
      <c r="B55" s="13">
        <f t="shared" si="0"/>
        <v>2470</v>
      </c>
      <c r="C55" s="12">
        <f t="shared" si="3"/>
        <v>34.375</v>
      </c>
      <c r="D55" s="1">
        <v>27</v>
      </c>
    </row>
    <row r="56" spans="2:4" x14ac:dyDescent="0.25">
      <c r="B56" s="13">
        <f t="shared" si="0"/>
        <v>2480</v>
      </c>
      <c r="C56" s="12">
        <f t="shared" si="3"/>
        <v>34.5</v>
      </c>
      <c r="D56" s="1">
        <v>28</v>
      </c>
    </row>
    <row r="57" spans="2:4" x14ac:dyDescent="0.25">
      <c r="B57" s="13">
        <f t="shared" si="0"/>
        <v>2490</v>
      </c>
      <c r="C57" s="12">
        <f t="shared" si="3"/>
        <v>34.625</v>
      </c>
      <c r="D57" s="1">
        <v>29</v>
      </c>
    </row>
    <row r="58" spans="2:4" x14ac:dyDescent="0.25">
      <c r="B58" s="13">
        <f t="shared" si="0"/>
        <v>2500</v>
      </c>
      <c r="C58" s="12">
        <f t="shared" si="3"/>
        <v>34.75</v>
      </c>
      <c r="D58" s="1">
        <v>30</v>
      </c>
    </row>
    <row r="59" spans="2:4" x14ac:dyDescent="0.25">
      <c r="B59" s="13">
        <f t="shared" si="0"/>
        <v>2510</v>
      </c>
      <c r="C59" s="12">
        <f t="shared" si="3"/>
        <v>34.875</v>
      </c>
      <c r="D59" s="1">
        <v>31</v>
      </c>
    </row>
    <row r="60" spans="2:4" x14ac:dyDescent="0.25">
      <c r="B60" s="13">
        <f t="shared" si="0"/>
        <v>2520</v>
      </c>
      <c r="C60" s="12">
        <f t="shared" si="3"/>
        <v>35</v>
      </c>
      <c r="D60" s="1">
        <v>32</v>
      </c>
    </row>
    <row r="61" spans="2:4" x14ac:dyDescent="0.25">
      <c r="B61" s="13">
        <f t="shared" si="0"/>
        <v>2530</v>
      </c>
      <c r="C61" s="12">
        <f t="shared" si="3"/>
        <v>35.125</v>
      </c>
      <c r="D61" s="1">
        <v>33</v>
      </c>
    </row>
    <row r="62" spans="2:4" x14ac:dyDescent="0.25">
      <c r="B62" s="13">
        <f t="shared" si="0"/>
        <v>2540</v>
      </c>
      <c r="C62" s="12">
        <f t="shared" si="3"/>
        <v>35.25</v>
      </c>
      <c r="D62" s="1">
        <v>34</v>
      </c>
    </row>
    <row r="63" spans="2:4" x14ac:dyDescent="0.25">
      <c r="B63" s="13">
        <f t="shared" si="0"/>
        <v>2550</v>
      </c>
      <c r="C63" s="12">
        <f t="shared" si="3"/>
        <v>35.375</v>
      </c>
      <c r="D63" s="1">
        <v>35</v>
      </c>
    </row>
    <row r="64" spans="2:4" x14ac:dyDescent="0.25">
      <c r="B64" s="13">
        <f t="shared" si="0"/>
        <v>2560</v>
      </c>
      <c r="C64" s="12">
        <f t="shared" si="3"/>
        <v>35.5</v>
      </c>
      <c r="D64" s="1">
        <v>36</v>
      </c>
    </row>
    <row r="65" spans="2:6" x14ac:dyDescent="0.25">
      <c r="B65" s="13">
        <f t="shared" si="0"/>
        <v>2570</v>
      </c>
      <c r="C65" s="12">
        <f t="shared" si="3"/>
        <v>35.625</v>
      </c>
      <c r="D65" s="1">
        <v>37</v>
      </c>
    </row>
    <row r="66" spans="2:6" x14ac:dyDescent="0.25">
      <c r="B66" s="13">
        <f t="shared" si="0"/>
        <v>2580</v>
      </c>
      <c r="C66" s="12">
        <f t="shared" si="3"/>
        <v>35.75</v>
      </c>
      <c r="D66" s="1">
        <v>38</v>
      </c>
    </row>
    <row r="67" spans="2:6" x14ac:dyDescent="0.25">
      <c r="B67" s="13">
        <f t="shared" si="0"/>
        <v>2590</v>
      </c>
      <c r="C67" s="12">
        <f t="shared" si="3"/>
        <v>35.875</v>
      </c>
      <c r="D67" s="1">
        <v>39</v>
      </c>
    </row>
    <row r="68" spans="2:6" x14ac:dyDescent="0.25">
      <c r="B68" s="13">
        <f t="shared" si="0"/>
        <v>2600</v>
      </c>
      <c r="C68" s="12">
        <v>36</v>
      </c>
      <c r="D68" s="1">
        <v>40</v>
      </c>
    </row>
    <row r="69" spans="2:6" x14ac:dyDescent="0.25">
      <c r="B69" s="13">
        <f t="shared" si="0"/>
        <v>2610</v>
      </c>
      <c r="C69" s="12">
        <f t="shared" ref="C69:C100" si="4">C68+Variable2</f>
        <v>36.05833333333333</v>
      </c>
      <c r="D69" s="1">
        <v>1</v>
      </c>
    </row>
    <row r="70" spans="2:6" x14ac:dyDescent="0.25">
      <c r="B70" s="13">
        <f t="shared" si="0"/>
        <v>2620</v>
      </c>
      <c r="C70" s="12">
        <f t="shared" si="4"/>
        <v>36.11666666666666</v>
      </c>
      <c r="D70" s="1">
        <v>2</v>
      </c>
      <c r="E70">
        <f>(C188-C68)/D188</f>
        <v>5.8333333333333334E-2</v>
      </c>
      <c r="F70" t="s">
        <v>35</v>
      </c>
    </row>
    <row r="71" spans="2:6" x14ac:dyDescent="0.25">
      <c r="B71" s="13">
        <f t="shared" si="0"/>
        <v>2630</v>
      </c>
      <c r="C71" s="12">
        <f t="shared" si="4"/>
        <v>36.17499999999999</v>
      </c>
      <c r="D71" s="1">
        <v>3</v>
      </c>
    </row>
    <row r="72" spans="2:6" x14ac:dyDescent="0.25">
      <c r="B72" s="13">
        <f t="shared" si="0"/>
        <v>2640</v>
      </c>
      <c r="C72" s="12">
        <f t="shared" si="4"/>
        <v>36.23333333333332</v>
      </c>
      <c r="D72" s="1">
        <v>4</v>
      </c>
    </row>
    <row r="73" spans="2:6" x14ac:dyDescent="0.25">
      <c r="B73" s="13">
        <f t="shared" si="0"/>
        <v>2650</v>
      </c>
      <c r="C73" s="12">
        <f t="shared" si="4"/>
        <v>36.29166666666665</v>
      </c>
      <c r="D73" s="1">
        <v>5</v>
      </c>
    </row>
    <row r="74" spans="2:6" x14ac:dyDescent="0.25">
      <c r="B74" s="13">
        <f t="shared" ref="B74:B76" si="5">B73+10</f>
        <v>2660</v>
      </c>
      <c r="C74" s="12">
        <f t="shared" si="4"/>
        <v>36.34999999999998</v>
      </c>
      <c r="D74" s="1">
        <v>6</v>
      </c>
    </row>
    <row r="75" spans="2:6" x14ac:dyDescent="0.25">
      <c r="B75" s="13">
        <f t="shared" si="5"/>
        <v>2670</v>
      </c>
      <c r="C75" s="12">
        <f t="shared" si="4"/>
        <v>36.40833333333331</v>
      </c>
      <c r="D75" s="1">
        <v>7</v>
      </c>
    </row>
    <row r="76" spans="2:6" x14ac:dyDescent="0.25">
      <c r="B76" s="13">
        <f t="shared" si="5"/>
        <v>2680</v>
      </c>
      <c r="C76" s="12">
        <f t="shared" si="4"/>
        <v>36.46666666666664</v>
      </c>
      <c r="D76" s="1">
        <v>8</v>
      </c>
    </row>
    <row r="77" spans="2:6" x14ac:dyDescent="0.25">
      <c r="B77" s="13">
        <f>B76+10</f>
        <v>2690</v>
      </c>
      <c r="C77" s="12">
        <f t="shared" si="4"/>
        <v>36.52499999999997</v>
      </c>
      <c r="D77" s="1">
        <v>9</v>
      </c>
    </row>
    <row r="78" spans="2:6" x14ac:dyDescent="0.25">
      <c r="B78" s="13">
        <f t="shared" ref="B78:B129" si="6">B77+10</f>
        <v>2700</v>
      </c>
      <c r="C78" s="12">
        <f t="shared" si="4"/>
        <v>36.5833333333333</v>
      </c>
      <c r="D78" s="1">
        <v>10</v>
      </c>
    </row>
    <row r="79" spans="2:6" x14ac:dyDescent="0.25">
      <c r="B79" s="13">
        <f t="shared" si="6"/>
        <v>2710</v>
      </c>
      <c r="C79" s="12">
        <f t="shared" si="4"/>
        <v>36.64166666666663</v>
      </c>
      <c r="D79" s="1">
        <v>11</v>
      </c>
    </row>
    <row r="80" spans="2:6" x14ac:dyDescent="0.25">
      <c r="B80" s="13">
        <f t="shared" si="6"/>
        <v>2720</v>
      </c>
      <c r="C80" s="12">
        <f t="shared" si="4"/>
        <v>36.69999999999996</v>
      </c>
      <c r="D80" s="1">
        <v>12</v>
      </c>
    </row>
    <row r="81" spans="2:4" x14ac:dyDescent="0.25">
      <c r="B81" s="13">
        <f t="shared" si="6"/>
        <v>2730</v>
      </c>
      <c r="C81" s="12">
        <f t="shared" si="4"/>
        <v>36.75833333333329</v>
      </c>
      <c r="D81" s="1">
        <v>13</v>
      </c>
    </row>
    <row r="82" spans="2:4" x14ac:dyDescent="0.25">
      <c r="B82" s="13">
        <f t="shared" si="6"/>
        <v>2740</v>
      </c>
      <c r="C82" s="12">
        <f t="shared" si="4"/>
        <v>36.81666666666662</v>
      </c>
      <c r="D82" s="1">
        <v>14</v>
      </c>
    </row>
    <row r="83" spans="2:4" x14ac:dyDescent="0.25">
      <c r="B83" s="13">
        <f t="shared" si="6"/>
        <v>2750</v>
      </c>
      <c r="C83" s="12">
        <f t="shared" si="4"/>
        <v>36.87499999999995</v>
      </c>
      <c r="D83" s="1">
        <v>15</v>
      </c>
    </row>
    <row r="84" spans="2:4" x14ac:dyDescent="0.25">
      <c r="B84" s="13">
        <f t="shared" si="6"/>
        <v>2760</v>
      </c>
      <c r="C84" s="12">
        <f t="shared" si="4"/>
        <v>36.93333333333328</v>
      </c>
      <c r="D84" s="1">
        <v>16</v>
      </c>
    </row>
    <row r="85" spans="2:4" x14ac:dyDescent="0.25">
      <c r="B85" s="13">
        <f t="shared" si="6"/>
        <v>2770</v>
      </c>
      <c r="C85" s="12">
        <f t="shared" si="4"/>
        <v>36.99166666666661</v>
      </c>
      <c r="D85" s="1">
        <v>17</v>
      </c>
    </row>
    <row r="86" spans="2:4" x14ac:dyDescent="0.25">
      <c r="B86" s="13">
        <f t="shared" si="6"/>
        <v>2780</v>
      </c>
      <c r="C86" s="12">
        <f t="shared" si="4"/>
        <v>37.04999999999994</v>
      </c>
      <c r="D86" s="1">
        <v>18</v>
      </c>
    </row>
    <row r="87" spans="2:4" x14ac:dyDescent="0.25">
      <c r="B87" s="13">
        <f t="shared" si="6"/>
        <v>2790</v>
      </c>
      <c r="C87" s="12">
        <f t="shared" si="4"/>
        <v>37.10833333333327</v>
      </c>
      <c r="D87" s="1">
        <v>19</v>
      </c>
    </row>
    <row r="88" spans="2:4" x14ac:dyDescent="0.25">
      <c r="B88" s="13">
        <f t="shared" si="6"/>
        <v>2800</v>
      </c>
      <c r="C88" s="12">
        <f t="shared" si="4"/>
        <v>37.1666666666666</v>
      </c>
      <c r="D88" s="1">
        <v>20</v>
      </c>
    </row>
    <row r="89" spans="2:4" x14ac:dyDescent="0.25">
      <c r="B89" s="13">
        <f t="shared" si="6"/>
        <v>2810</v>
      </c>
      <c r="C89" s="12">
        <f t="shared" si="4"/>
        <v>37.22499999999993</v>
      </c>
      <c r="D89" s="1">
        <v>21</v>
      </c>
    </row>
    <row r="90" spans="2:4" x14ac:dyDescent="0.25">
      <c r="B90" s="13">
        <f t="shared" si="6"/>
        <v>2820</v>
      </c>
      <c r="C90" s="12">
        <f t="shared" si="4"/>
        <v>37.28333333333326</v>
      </c>
      <c r="D90" s="1">
        <v>22</v>
      </c>
    </row>
    <row r="91" spans="2:4" x14ac:dyDescent="0.25">
      <c r="B91" s="13">
        <f t="shared" si="6"/>
        <v>2830</v>
      </c>
      <c r="C91" s="12">
        <f t="shared" si="4"/>
        <v>37.34166666666659</v>
      </c>
      <c r="D91" s="1">
        <v>23</v>
      </c>
    </row>
    <row r="92" spans="2:4" x14ac:dyDescent="0.25">
      <c r="B92" s="13">
        <f t="shared" si="6"/>
        <v>2840</v>
      </c>
      <c r="C92" s="12">
        <f t="shared" si="4"/>
        <v>37.39999999999992</v>
      </c>
      <c r="D92" s="1">
        <v>24</v>
      </c>
    </row>
    <row r="93" spans="2:4" x14ac:dyDescent="0.25">
      <c r="B93" s="13">
        <f t="shared" si="6"/>
        <v>2850</v>
      </c>
      <c r="C93" s="12">
        <f t="shared" si="4"/>
        <v>37.45833333333325</v>
      </c>
      <c r="D93" s="1">
        <v>25</v>
      </c>
    </row>
    <row r="94" spans="2:4" x14ac:dyDescent="0.25">
      <c r="B94" s="13">
        <f t="shared" si="6"/>
        <v>2860</v>
      </c>
      <c r="C94" s="12">
        <f t="shared" si="4"/>
        <v>37.51666666666658</v>
      </c>
      <c r="D94" s="1">
        <v>26</v>
      </c>
    </row>
    <row r="95" spans="2:4" x14ac:dyDescent="0.25">
      <c r="B95" s="13">
        <f t="shared" si="6"/>
        <v>2870</v>
      </c>
      <c r="C95" s="12">
        <f t="shared" si="4"/>
        <v>37.57499999999991</v>
      </c>
      <c r="D95" s="1">
        <v>27</v>
      </c>
    </row>
    <row r="96" spans="2:4" x14ac:dyDescent="0.25">
      <c r="B96" s="13">
        <f t="shared" si="6"/>
        <v>2880</v>
      </c>
      <c r="C96" s="12">
        <f t="shared" si="4"/>
        <v>37.63333333333324</v>
      </c>
      <c r="D96" s="1">
        <v>28</v>
      </c>
    </row>
    <row r="97" spans="2:4" x14ac:dyDescent="0.25">
      <c r="B97" s="13">
        <f t="shared" si="6"/>
        <v>2890</v>
      </c>
      <c r="C97" s="12">
        <f t="shared" si="4"/>
        <v>37.691666666666571</v>
      </c>
      <c r="D97" s="1">
        <v>29</v>
      </c>
    </row>
    <row r="98" spans="2:4" x14ac:dyDescent="0.25">
      <c r="B98" s="13">
        <f t="shared" si="6"/>
        <v>2900</v>
      </c>
      <c r="C98" s="12">
        <f t="shared" si="4"/>
        <v>37.749999999999901</v>
      </c>
      <c r="D98" s="1">
        <v>30</v>
      </c>
    </row>
    <row r="99" spans="2:4" x14ac:dyDescent="0.25">
      <c r="B99" s="13">
        <f t="shared" si="6"/>
        <v>2910</v>
      </c>
      <c r="C99" s="12">
        <f t="shared" si="4"/>
        <v>37.808333333333231</v>
      </c>
      <c r="D99" s="1">
        <v>31</v>
      </c>
    </row>
    <row r="100" spans="2:4" x14ac:dyDescent="0.25">
      <c r="B100" s="13">
        <f t="shared" si="6"/>
        <v>2920</v>
      </c>
      <c r="C100" s="12">
        <f t="shared" si="4"/>
        <v>37.866666666666561</v>
      </c>
      <c r="D100" s="1">
        <v>32</v>
      </c>
    </row>
    <row r="101" spans="2:4" x14ac:dyDescent="0.25">
      <c r="B101" s="13">
        <f t="shared" si="6"/>
        <v>2930</v>
      </c>
      <c r="C101" s="12">
        <f t="shared" ref="C101:C132" si="7">C100+Variable2</f>
        <v>37.924999999999891</v>
      </c>
      <c r="D101" s="1">
        <v>33</v>
      </c>
    </row>
    <row r="102" spans="2:4" x14ac:dyDescent="0.25">
      <c r="B102" s="13">
        <f t="shared" si="6"/>
        <v>2940</v>
      </c>
      <c r="C102" s="12">
        <f t="shared" si="7"/>
        <v>37.983333333333221</v>
      </c>
      <c r="D102" s="1">
        <v>34</v>
      </c>
    </row>
    <row r="103" spans="2:4" x14ac:dyDescent="0.25">
      <c r="B103" s="13">
        <f t="shared" si="6"/>
        <v>2950</v>
      </c>
      <c r="C103" s="12">
        <f t="shared" si="7"/>
        <v>38.041666666666551</v>
      </c>
      <c r="D103" s="1">
        <v>35</v>
      </c>
    </row>
    <row r="104" spans="2:4" x14ac:dyDescent="0.25">
      <c r="B104" s="13">
        <f t="shared" si="6"/>
        <v>2960</v>
      </c>
      <c r="C104" s="12">
        <f t="shared" si="7"/>
        <v>38.099999999999881</v>
      </c>
      <c r="D104" s="1">
        <v>36</v>
      </c>
    </row>
    <row r="105" spans="2:4" x14ac:dyDescent="0.25">
      <c r="B105" s="13">
        <f t="shared" si="6"/>
        <v>2970</v>
      </c>
      <c r="C105" s="12">
        <f t="shared" si="7"/>
        <v>38.158333333333211</v>
      </c>
      <c r="D105" s="1">
        <v>37</v>
      </c>
    </row>
    <row r="106" spans="2:4" x14ac:dyDescent="0.25">
      <c r="B106" s="13">
        <f t="shared" si="6"/>
        <v>2980</v>
      </c>
      <c r="C106" s="12">
        <f t="shared" si="7"/>
        <v>38.216666666666541</v>
      </c>
      <c r="D106" s="1">
        <v>38</v>
      </c>
    </row>
    <row r="107" spans="2:4" x14ac:dyDescent="0.25">
      <c r="B107" s="13">
        <f t="shared" si="6"/>
        <v>2990</v>
      </c>
      <c r="C107" s="12">
        <f t="shared" si="7"/>
        <v>38.274999999999871</v>
      </c>
      <c r="D107" s="1">
        <v>39</v>
      </c>
    </row>
    <row r="108" spans="2:4" x14ac:dyDescent="0.25">
      <c r="B108" s="13">
        <f t="shared" si="6"/>
        <v>3000</v>
      </c>
      <c r="C108" s="12">
        <f t="shared" si="7"/>
        <v>38.333333333333201</v>
      </c>
      <c r="D108" s="1">
        <v>40</v>
      </c>
    </row>
    <row r="109" spans="2:4" x14ac:dyDescent="0.25">
      <c r="B109" s="13">
        <f t="shared" si="6"/>
        <v>3010</v>
      </c>
      <c r="C109" s="12">
        <f t="shared" si="7"/>
        <v>38.391666666666531</v>
      </c>
      <c r="D109" s="1">
        <v>41</v>
      </c>
    </row>
    <row r="110" spans="2:4" x14ac:dyDescent="0.25">
      <c r="B110" s="13">
        <f t="shared" si="6"/>
        <v>3020</v>
      </c>
      <c r="C110" s="12">
        <f t="shared" si="7"/>
        <v>38.449999999999861</v>
      </c>
      <c r="D110" s="1">
        <v>42</v>
      </c>
    </row>
    <row r="111" spans="2:4" x14ac:dyDescent="0.25">
      <c r="B111" s="13">
        <f t="shared" si="6"/>
        <v>3030</v>
      </c>
      <c r="C111" s="12">
        <f t="shared" si="7"/>
        <v>38.508333333333191</v>
      </c>
      <c r="D111" s="1">
        <v>43</v>
      </c>
    </row>
    <row r="112" spans="2:4" x14ac:dyDescent="0.25">
      <c r="B112" s="13">
        <f t="shared" si="6"/>
        <v>3040</v>
      </c>
      <c r="C112" s="12">
        <f t="shared" si="7"/>
        <v>38.566666666666521</v>
      </c>
      <c r="D112" s="1">
        <v>44</v>
      </c>
    </row>
    <row r="113" spans="2:4" x14ac:dyDescent="0.25">
      <c r="B113" s="13">
        <f t="shared" si="6"/>
        <v>3050</v>
      </c>
      <c r="C113" s="12">
        <f t="shared" si="7"/>
        <v>38.624999999999851</v>
      </c>
      <c r="D113" s="1">
        <v>45</v>
      </c>
    </row>
    <row r="114" spans="2:4" x14ac:dyDescent="0.25">
      <c r="B114" s="13">
        <f t="shared" si="6"/>
        <v>3060</v>
      </c>
      <c r="C114" s="12">
        <f t="shared" si="7"/>
        <v>38.683333333333181</v>
      </c>
      <c r="D114" s="1">
        <v>46</v>
      </c>
    </row>
    <row r="115" spans="2:4" x14ac:dyDescent="0.25">
      <c r="B115" s="13">
        <f t="shared" si="6"/>
        <v>3070</v>
      </c>
      <c r="C115" s="12">
        <f t="shared" si="7"/>
        <v>38.741666666666511</v>
      </c>
      <c r="D115" s="1">
        <v>47</v>
      </c>
    </row>
    <row r="116" spans="2:4" x14ac:dyDescent="0.25">
      <c r="B116" s="13">
        <f t="shared" si="6"/>
        <v>3080</v>
      </c>
      <c r="C116" s="12">
        <f t="shared" si="7"/>
        <v>38.799999999999841</v>
      </c>
      <c r="D116" s="1">
        <v>48</v>
      </c>
    </row>
    <row r="117" spans="2:4" x14ac:dyDescent="0.25">
      <c r="B117" s="13">
        <f t="shared" si="6"/>
        <v>3090</v>
      </c>
      <c r="C117" s="12">
        <f t="shared" si="7"/>
        <v>38.858333333333171</v>
      </c>
      <c r="D117" s="1">
        <v>49</v>
      </c>
    </row>
    <row r="118" spans="2:4" x14ac:dyDescent="0.25">
      <c r="B118" s="13">
        <f t="shared" si="6"/>
        <v>3100</v>
      </c>
      <c r="C118" s="12">
        <f t="shared" si="7"/>
        <v>38.916666666666501</v>
      </c>
      <c r="D118" s="1">
        <v>50</v>
      </c>
    </row>
    <row r="119" spans="2:4" x14ac:dyDescent="0.25">
      <c r="B119" s="13">
        <f t="shared" si="6"/>
        <v>3110</v>
      </c>
      <c r="C119" s="12">
        <f t="shared" si="7"/>
        <v>38.974999999999831</v>
      </c>
      <c r="D119" s="1">
        <v>51</v>
      </c>
    </row>
    <row r="120" spans="2:4" x14ac:dyDescent="0.25">
      <c r="B120" s="13">
        <f t="shared" si="6"/>
        <v>3120</v>
      </c>
      <c r="C120" s="12">
        <f t="shared" si="7"/>
        <v>39.033333333333161</v>
      </c>
      <c r="D120" s="1">
        <v>52</v>
      </c>
    </row>
    <row r="121" spans="2:4" x14ac:dyDescent="0.25">
      <c r="B121" s="13">
        <f t="shared" si="6"/>
        <v>3130</v>
      </c>
      <c r="C121" s="12">
        <f t="shared" si="7"/>
        <v>39.091666666666491</v>
      </c>
      <c r="D121" s="1">
        <v>53</v>
      </c>
    </row>
    <row r="122" spans="2:4" x14ac:dyDescent="0.25">
      <c r="B122" s="13">
        <f t="shared" si="6"/>
        <v>3140</v>
      </c>
      <c r="C122" s="12">
        <f t="shared" si="7"/>
        <v>39.149999999999821</v>
      </c>
      <c r="D122" s="1">
        <v>54</v>
      </c>
    </row>
    <row r="123" spans="2:4" x14ac:dyDescent="0.25">
      <c r="B123" s="13">
        <f t="shared" si="6"/>
        <v>3150</v>
      </c>
      <c r="C123" s="12">
        <f t="shared" si="7"/>
        <v>39.208333333333151</v>
      </c>
      <c r="D123" s="1">
        <v>55</v>
      </c>
    </row>
    <row r="124" spans="2:4" x14ac:dyDescent="0.25">
      <c r="B124" s="13">
        <f t="shared" si="6"/>
        <v>3160</v>
      </c>
      <c r="C124" s="12">
        <f t="shared" si="7"/>
        <v>39.266666666666481</v>
      </c>
      <c r="D124" s="1">
        <v>56</v>
      </c>
    </row>
    <row r="125" spans="2:4" x14ac:dyDescent="0.25">
      <c r="B125" s="13">
        <f t="shared" si="6"/>
        <v>3170</v>
      </c>
      <c r="C125" s="12">
        <f t="shared" si="7"/>
        <v>39.324999999999811</v>
      </c>
      <c r="D125" s="1">
        <v>57</v>
      </c>
    </row>
    <row r="126" spans="2:4" x14ac:dyDescent="0.25">
      <c r="B126" s="13">
        <f t="shared" si="6"/>
        <v>3180</v>
      </c>
      <c r="C126" s="12">
        <f t="shared" si="7"/>
        <v>39.383333333333141</v>
      </c>
      <c r="D126" s="1">
        <v>58</v>
      </c>
    </row>
    <row r="127" spans="2:4" x14ac:dyDescent="0.25">
      <c r="B127" s="13">
        <f t="shared" si="6"/>
        <v>3190</v>
      </c>
      <c r="C127" s="12">
        <f t="shared" si="7"/>
        <v>39.441666666666471</v>
      </c>
      <c r="D127" s="1">
        <v>59</v>
      </c>
    </row>
    <row r="128" spans="2:4" x14ac:dyDescent="0.25">
      <c r="B128" s="13">
        <f t="shared" si="6"/>
        <v>3200</v>
      </c>
      <c r="C128" s="12">
        <f t="shared" si="7"/>
        <v>39.499999999999801</v>
      </c>
      <c r="D128" s="1">
        <v>60</v>
      </c>
    </row>
    <row r="129" spans="2:4" x14ac:dyDescent="0.25">
      <c r="B129" s="13">
        <f t="shared" si="6"/>
        <v>3210</v>
      </c>
      <c r="C129" s="12">
        <f t="shared" si="7"/>
        <v>39.558333333333131</v>
      </c>
      <c r="D129" s="1">
        <v>61</v>
      </c>
    </row>
    <row r="130" spans="2:4" x14ac:dyDescent="0.25">
      <c r="B130" s="13">
        <f>B129+10</f>
        <v>3220</v>
      </c>
      <c r="C130" s="12">
        <f t="shared" si="7"/>
        <v>39.616666666666461</v>
      </c>
      <c r="D130" s="1">
        <v>62</v>
      </c>
    </row>
    <row r="131" spans="2:4" x14ac:dyDescent="0.25">
      <c r="B131" s="13">
        <f t="shared" ref="B131:B188" si="8">B130+10</f>
        <v>3230</v>
      </c>
      <c r="C131" s="12">
        <f t="shared" si="7"/>
        <v>39.674999999999791</v>
      </c>
      <c r="D131" s="1">
        <v>63</v>
      </c>
    </row>
    <row r="132" spans="2:4" x14ac:dyDescent="0.25">
      <c r="B132" s="13">
        <f t="shared" si="8"/>
        <v>3240</v>
      </c>
      <c r="C132" s="12">
        <f t="shared" si="7"/>
        <v>39.733333333333121</v>
      </c>
      <c r="D132" s="1">
        <v>64</v>
      </c>
    </row>
    <row r="133" spans="2:4" x14ac:dyDescent="0.25">
      <c r="B133" s="13">
        <f t="shared" si="8"/>
        <v>3250</v>
      </c>
      <c r="C133" s="12">
        <f t="shared" ref="C133:C164" si="9">C132+Variable2</f>
        <v>39.791666666666451</v>
      </c>
      <c r="D133" s="1">
        <v>65</v>
      </c>
    </row>
    <row r="134" spans="2:4" x14ac:dyDescent="0.25">
      <c r="B134" s="13">
        <f t="shared" si="8"/>
        <v>3260</v>
      </c>
      <c r="C134" s="12">
        <f t="shared" si="9"/>
        <v>39.849999999999781</v>
      </c>
      <c r="D134" s="1">
        <v>66</v>
      </c>
    </row>
    <row r="135" spans="2:4" x14ac:dyDescent="0.25">
      <c r="B135" s="13">
        <f t="shared" si="8"/>
        <v>3270</v>
      </c>
      <c r="C135" s="12">
        <f t="shared" si="9"/>
        <v>39.908333333333111</v>
      </c>
      <c r="D135" s="1">
        <v>67</v>
      </c>
    </row>
    <row r="136" spans="2:4" x14ac:dyDescent="0.25">
      <c r="B136" s="13">
        <f t="shared" si="8"/>
        <v>3280</v>
      </c>
      <c r="C136" s="12">
        <f t="shared" si="9"/>
        <v>39.966666666666441</v>
      </c>
      <c r="D136" s="1">
        <v>68</v>
      </c>
    </row>
    <row r="137" spans="2:4" x14ac:dyDescent="0.25">
      <c r="B137" s="13">
        <f t="shared" si="8"/>
        <v>3290</v>
      </c>
      <c r="C137" s="12">
        <f t="shared" si="9"/>
        <v>40.024999999999771</v>
      </c>
      <c r="D137" s="1">
        <v>69</v>
      </c>
    </row>
    <row r="138" spans="2:4" x14ac:dyDescent="0.25">
      <c r="B138" s="13">
        <f t="shared" si="8"/>
        <v>3300</v>
      </c>
      <c r="C138" s="12">
        <f t="shared" si="9"/>
        <v>40.083333333333101</v>
      </c>
      <c r="D138" s="1">
        <v>70</v>
      </c>
    </row>
    <row r="139" spans="2:4" x14ac:dyDescent="0.25">
      <c r="B139" s="13">
        <f t="shared" si="8"/>
        <v>3310</v>
      </c>
      <c r="C139" s="12">
        <f t="shared" si="9"/>
        <v>40.141666666666431</v>
      </c>
      <c r="D139" s="1">
        <v>71</v>
      </c>
    </row>
    <row r="140" spans="2:4" x14ac:dyDescent="0.25">
      <c r="B140" s="13">
        <f t="shared" si="8"/>
        <v>3320</v>
      </c>
      <c r="C140" s="12">
        <f t="shared" si="9"/>
        <v>40.199999999999761</v>
      </c>
      <c r="D140" s="1">
        <v>72</v>
      </c>
    </row>
    <row r="141" spans="2:4" x14ac:dyDescent="0.25">
      <c r="B141" s="13">
        <f t="shared" si="8"/>
        <v>3330</v>
      </c>
      <c r="C141" s="12">
        <f t="shared" si="9"/>
        <v>40.258333333333091</v>
      </c>
      <c r="D141" s="1">
        <v>73</v>
      </c>
    </row>
    <row r="142" spans="2:4" x14ac:dyDescent="0.25">
      <c r="B142" s="13">
        <f t="shared" si="8"/>
        <v>3340</v>
      </c>
      <c r="C142" s="12">
        <f t="shared" si="9"/>
        <v>40.316666666666421</v>
      </c>
      <c r="D142" s="1">
        <v>74</v>
      </c>
    </row>
    <row r="143" spans="2:4" x14ac:dyDescent="0.25">
      <c r="B143" s="13">
        <f t="shared" si="8"/>
        <v>3350</v>
      </c>
      <c r="C143" s="12">
        <f t="shared" si="9"/>
        <v>40.374999999999751</v>
      </c>
      <c r="D143" s="1">
        <v>75</v>
      </c>
    </row>
    <row r="144" spans="2:4" x14ac:dyDescent="0.25">
      <c r="B144" s="13">
        <f t="shared" si="8"/>
        <v>3360</v>
      </c>
      <c r="C144" s="12">
        <f t="shared" si="9"/>
        <v>40.433333333333081</v>
      </c>
      <c r="D144" s="1">
        <v>76</v>
      </c>
    </row>
    <row r="145" spans="2:4" x14ac:dyDescent="0.25">
      <c r="B145" s="13">
        <f t="shared" si="8"/>
        <v>3370</v>
      </c>
      <c r="C145" s="12">
        <f t="shared" si="9"/>
        <v>40.491666666666411</v>
      </c>
      <c r="D145" s="1">
        <v>77</v>
      </c>
    </row>
    <row r="146" spans="2:4" x14ac:dyDescent="0.25">
      <c r="B146" s="13">
        <f t="shared" si="8"/>
        <v>3380</v>
      </c>
      <c r="C146" s="12">
        <f t="shared" si="9"/>
        <v>40.549999999999741</v>
      </c>
      <c r="D146" s="1">
        <v>78</v>
      </c>
    </row>
    <row r="147" spans="2:4" x14ac:dyDescent="0.25">
      <c r="B147" s="13">
        <f t="shared" si="8"/>
        <v>3390</v>
      </c>
      <c r="C147" s="12">
        <f t="shared" si="9"/>
        <v>40.608333333333071</v>
      </c>
      <c r="D147" s="1">
        <v>79</v>
      </c>
    </row>
    <row r="148" spans="2:4" x14ac:dyDescent="0.25">
      <c r="B148" s="13">
        <f t="shared" si="8"/>
        <v>3400</v>
      </c>
      <c r="C148" s="12">
        <f t="shared" si="9"/>
        <v>40.666666666666401</v>
      </c>
      <c r="D148" s="1">
        <v>80</v>
      </c>
    </row>
    <row r="149" spans="2:4" x14ac:dyDescent="0.25">
      <c r="B149" s="13">
        <f t="shared" si="8"/>
        <v>3410</v>
      </c>
      <c r="C149" s="12">
        <f t="shared" si="9"/>
        <v>40.724999999999731</v>
      </c>
      <c r="D149" s="1">
        <v>81</v>
      </c>
    </row>
    <row r="150" spans="2:4" x14ac:dyDescent="0.25">
      <c r="B150" s="13">
        <f t="shared" si="8"/>
        <v>3420</v>
      </c>
      <c r="C150" s="12">
        <f t="shared" si="9"/>
        <v>40.783333333333061</v>
      </c>
      <c r="D150" s="1">
        <v>82</v>
      </c>
    </row>
    <row r="151" spans="2:4" x14ac:dyDescent="0.25">
      <c r="B151" s="13">
        <f t="shared" si="8"/>
        <v>3430</v>
      </c>
      <c r="C151" s="12">
        <f t="shared" si="9"/>
        <v>40.841666666666391</v>
      </c>
      <c r="D151" s="1">
        <v>83</v>
      </c>
    </row>
    <row r="152" spans="2:4" x14ac:dyDescent="0.25">
      <c r="B152" s="13">
        <f t="shared" si="8"/>
        <v>3440</v>
      </c>
      <c r="C152" s="12">
        <f t="shared" si="9"/>
        <v>40.899999999999721</v>
      </c>
      <c r="D152" s="1">
        <v>84</v>
      </c>
    </row>
    <row r="153" spans="2:4" x14ac:dyDescent="0.25">
      <c r="B153" s="13">
        <f t="shared" si="8"/>
        <v>3450</v>
      </c>
      <c r="C153" s="12">
        <f t="shared" si="9"/>
        <v>40.958333333333051</v>
      </c>
      <c r="D153" s="1">
        <v>85</v>
      </c>
    </row>
    <row r="154" spans="2:4" x14ac:dyDescent="0.25">
      <c r="B154" s="13">
        <f t="shared" si="8"/>
        <v>3460</v>
      </c>
      <c r="C154" s="12">
        <f t="shared" si="9"/>
        <v>41.016666666666382</v>
      </c>
      <c r="D154" s="1">
        <v>86</v>
      </c>
    </row>
    <row r="155" spans="2:4" x14ac:dyDescent="0.25">
      <c r="B155" s="13">
        <f t="shared" si="8"/>
        <v>3470</v>
      </c>
      <c r="C155" s="12">
        <f t="shared" si="9"/>
        <v>41.074999999999712</v>
      </c>
      <c r="D155" s="1">
        <v>87</v>
      </c>
    </row>
    <row r="156" spans="2:4" x14ac:dyDescent="0.25">
      <c r="B156" s="13">
        <f t="shared" si="8"/>
        <v>3480</v>
      </c>
      <c r="C156" s="12">
        <f t="shared" si="9"/>
        <v>41.133333333333042</v>
      </c>
      <c r="D156" s="1">
        <v>88</v>
      </c>
    </row>
    <row r="157" spans="2:4" x14ac:dyDescent="0.25">
      <c r="B157" s="13">
        <f t="shared" si="8"/>
        <v>3490</v>
      </c>
      <c r="C157" s="12">
        <f t="shared" si="9"/>
        <v>41.191666666666372</v>
      </c>
      <c r="D157" s="1">
        <v>89</v>
      </c>
    </row>
    <row r="158" spans="2:4" x14ac:dyDescent="0.25">
      <c r="B158" s="13">
        <f t="shared" si="8"/>
        <v>3500</v>
      </c>
      <c r="C158" s="12">
        <f t="shared" si="9"/>
        <v>41.249999999999702</v>
      </c>
      <c r="D158" s="1">
        <v>90</v>
      </c>
    </row>
    <row r="159" spans="2:4" x14ac:dyDescent="0.25">
      <c r="B159" s="13">
        <f t="shared" si="8"/>
        <v>3510</v>
      </c>
      <c r="C159" s="12">
        <f t="shared" si="9"/>
        <v>41.308333333333032</v>
      </c>
      <c r="D159" s="1">
        <v>91</v>
      </c>
    </row>
    <row r="160" spans="2:4" x14ac:dyDescent="0.25">
      <c r="B160" s="13">
        <f t="shared" si="8"/>
        <v>3520</v>
      </c>
      <c r="C160" s="12">
        <f t="shared" si="9"/>
        <v>41.366666666666362</v>
      </c>
      <c r="D160" s="1">
        <v>92</v>
      </c>
    </row>
    <row r="161" spans="2:4" x14ac:dyDescent="0.25">
      <c r="B161" s="13">
        <f t="shared" si="8"/>
        <v>3530</v>
      </c>
      <c r="C161" s="12">
        <f t="shared" si="9"/>
        <v>41.424999999999692</v>
      </c>
      <c r="D161" s="1">
        <v>93</v>
      </c>
    </row>
    <row r="162" spans="2:4" x14ac:dyDescent="0.25">
      <c r="B162" s="13">
        <f t="shared" si="8"/>
        <v>3540</v>
      </c>
      <c r="C162" s="12">
        <f t="shared" si="9"/>
        <v>41.483333333333022</v>
      </c>
      <c r="D162" s="1">
        <v>94</v>
      </c>
    </row>
    <row r="163" spans="2:4" x14ac:dyDescent="0.25">
      <c r="B163" s="13">
        <f t="shared" si="8"/>
        <v>3550</v>
      </c>
      <c r="C163" s="12">
        <f t="shared" si="9"/>
        <v>41.541666666666352</v>
      </c>
      <c r="D163" s="1">
        <v>95</v>
      </c>
    </row>
    <row r="164" spans="2:4" x14ac:dyDescent="0.25">
      <c r="B164" s="13">
        <f t="shared" si="8"/>
        <v>3560</v>
      </c>
      <c r="C164" s="12">
        <f t="shared" si="9"/>
        <v>41.599999999999682</v>
      </c>
      <c r="D164" s="1">
        <v>96</v>
      </c>
    </row>
    <row r="165" spans="2:4" x14ac:dyDescent="0.25">
      <c r="B165" s="13">
        <f t="shared" si="8"/>
        <v>3570</v>
      </c>
      <c r="C165" s="12">
        <f t="shared" ref="C165:C187" si="10">C164+Variable2</f>
        <v>41.658333333333012</v>
      </c>
      <c r="D165" s="1">
        <v>97</v>
      </c>
    </row>
    <row r="166" spans="2:4" x14ac:dyDescent="0.25">
      <c r="B166" s="13">
        <f t="shared" si="8"/>
        <v>3580</v>
      </c>
      <c r="C166" s="12">
        <f t="shared" si="10"/>
        <v>41.716666666666342</v>
      </c>
      <c r="D166" s="1">
        <v>98</v>
      </c>
    </row>
    <row r="167" spans="2:4" x14ac:dyDescent="0.25">
      <c r="B167" s="13">
        <f t="shared" si="8"/>
        <v>3590</v>
      </c>
      <c r="C167" s="12">
        <f t="shared" si="10"/>
        <v>41.774999999999672</v>
      </c>
      <c r="D167" s="1">
        <v>99</v>
      </c>
    </row>
    <row r="168" spans="2:4" x14ac:dyDescent="0.25">
      <c r="B168" s="13">
        <f t="shared" si="8"/>
        <v>3600</v>
      </c>
      <c r="C168" s="12">
        <f t="shared" si="10"/>
        <v>41.833333333333002</v>
      </c>
      <c r="D168" s="1">
        <v>100</v>
      </c>
    </row>
    <row r="169" spans="2:4" x14ac:dyDescent="0.25">
      <c r="B169" s="13">
        <f t="shared" si="8"/>
        <v>3610</v>
      </c>
      <c r="C169" s="12">
        <f t="shared" si="10"/>
        <v>41.891666666666332</v>
      </c>
      <c r="D169" s="1">
        <v>101</v>
      </c>
    </row>
    <row r="170" spans="2:4" x14ac:dyDescent="0.25">
      <c r="B170" s="13">
        <f t="shared" si="8"/>
        <v>3620</v>
      </c>
      <c r="C170" s="12">
        <f t="shared" si="10"/>
        <v>41.949999999999662</v>
      </c>
      <c r="D170" s="1">
        <v>102</v>
      </c>
    </row>
    <row r="171" spans="2:4" x14ac:dyDescent="0.25">
      <c r="B171" s="13">
        <f t="shared" si="8"/>
        <v>3630</v>
      </c>
      <c r="C171" s="12">
        <f t="shared" si="10"/>
        <v>42.008333333332992</v>
      </c>
      <c r="D171" s="1">
        <v>103</v>
      </c>
    </row>
    <row r="172" spans="2:4" x14ac:dyDescent="0.25">
      <c r="B172" s="13">
        <f t="shared" si="8"/>
        <v>3640</v>
      </c>
      <c r="C172" s="12">
        <f t="shared" si="10"/>
        <v>42.066666666666322</v>
      </c>
      <c r="D172" s="1">
        <v>104</v>
      </c>
    </row>
    <row r="173" spans="2:4" x14ac:dyDescent="0.25">
      <c r="B173" s="13">
        <f t="shared" si="8"/>
        <v>3650</v>
      </c>
      <c r="C173" s="12">
        <f t="shared" si="10"/>
        <v>42.124999999999652</v>
      </c>
      <c r="D173" s="1">
        <v>105</v>
      </c>
    </row>
    <row r="174" spans="2:4" x14ac:dyDescent="0.25">
      <c r="B174" s="13">
        <f t="shared" si="8"/>
        <v>3660</v>
      </c>
      <c r="C174" s="12">
        <f t="shared" si="10"/>
        <v>42.183333333332982</v>
      </c>
      <c r="D174" s="1">
        <v>106</v>
      </c>
    </row>
    <row r="175" spans="2:4" x14ac:dyDescent="0.25">
      <c r="B175" s="13">
        <f t="shared" si="8"/>
        <v>3670</v>
      </c>
      <c r="C175" s="12">
        <f t="shared" si="10"/>
        <v>42.241666666666312</v>
      </c>
      <c r="D175" s="1">
        <v>107</v>
      </c>
    </row>
    <row r="176" spans="2:4" x14ac:dyDescent="0.25">
      <c r="B176" s="13">
        <f t="shared" si="8"/>
        <v>3680</v>
      </c>
      <c r="C176" s="12">
        <f t="shared" si="10"/>
        <v>42.299999999999642</v>
      </c>
      <c r="D176" s="1">
        <v>108</v>
      </c>
    </row>
    <row r="177" spans="2:4" x14ac:dyDescent="0.25">
      <c r="B177" s="13">
        <f t="shared" si="8"/>
        <v>3690</v>
      </c>
      <c r="C177" s="12">
        <f t="shared" si="10"/>
        <v>42.358333333332972</v>
      </c>
      <c r="D177" s="1">
        <v>109</v>
      </c>
    </row>
    <row r="178" spans="2:4" x14ac:dyDescent="0.25">
      <c r="B178" s="13">
        <f t="shared" si="8"/>
        <v>3700</v>
      </c>
      <c r="C178" s="12">
        <f t="shared" si="10"/>
        <v>42.416666666666302</v>
      </c>
      <c r="D178" s="1">
        <v>110</v>
      </c>
    </row>
    <row r="179" spans="2:4" x14ac:dyDescent="0.25">
      <c r="B179" s="13">
        <f t="shared" si="8"/>
        <v>3710</v>
      </c>
      <c r="C179" s="12">
        <f t="shared" si="10"/>
        <v>42.474999999999632</v>
      </c>
      <c r="D179" s="1">
        <v>111</v>
      </c>
    </row>
    <row r="180" spans="2:4" x14ac:dyDescent="0.25">
      <c r="B180" s="13">
        <f t="shared" si="8"/>
        <v>3720</v>
      </c>
      <c r="C180" s="12">
        <f t="shared" si="10"/>
        <v>42.533333333332962</v>
      </c>
      <c r="D180" s="1">
        <v>112</v>
      </c>
    </row>
    <row r="181" spans="2:4" x14ac:dyDescent="0.25">
      <c r="B181" s="13">
        <f t="shared" si="8"/>
        <v>3730</v>
      </c>
      <c r="C181" s="12">
        <f t="shared" si="10"/>
        <v>42.591666666666292</v>
      </c>
      <c r="D181" s="1">
        <v>113</v>
      </c>
    </row>
    <row r="182" spans="2:4" x14ac:dyDescent="0.25">
      <c r="B182" s="13">
        <f t="shared" si="8"/>
        <v>3740</v>
      </c>
      <c r="C182" s="12">
        <f t="shared" si="10"/>
        <v>42.649999999999622</v>
      </c>
      <c r="D182" s="1">
        <v>114</v>
      </c>
    </row>
    <row r="183" spans="2:4" x14ac:dyDescent="0.25">
      <c r="B183" s="13">
        <f t="shared" si="8"/>
        <v>3750</v>
      </c>
      <c r="C183" s="12">
        <f t="shared" si="10"/>
        <v>42.708333333332952</v>
      </c>
      <c r="D183" s="1">
        <v>115</v>
      </c>
    </row>
    <row r="184" spans="2:4" x14ac:dyDescent="0.25">
      <c r="B184" s="13">
        <f t="shared" si="8"/>
        <v>3760</v>
      </c>
      <c r="C184" s="12">
        <f t="shared" si="10"/>
        <v>42.766666666666282</v>
      </c>
      <c r="D184" s="1">
        <v>116</v>
      </c>
    </row>
    <row r="185" spans="2:4" x14ac:dyDescent="0.25">
      <c r="B185" s="13">
        <f t="shared" si="8"/>
        <v>3770</v>
      </c>
      <c r="C185" s="12">
        <f t="shared" si="10"/>
        <v>42.824999999999612</v>
      </c>
      <c r="D185" s="1">
        <v>117</v>
      </c>
    </row>
    <row r="186" spans="2:4" x14ac:dyDescent="0.25">
      <c r="B186" s="13">
        <f t="shared" si="8"/>
        <v>3780</v>
      </c>
      <c r="C186" s="12">
        <f t="shared" si="10"/>
        <v>42.883333333332942</v>
      </c>
      <c r="D186" s="1">
        <v>118</v>
      </c>
    </row>
    <row r="187" spans="2:4" x14ac:dyDescent="0.25">
      <c r="B187" s="13">
        <f t="shared" si="8"/>
        <v>3790</v>
      </c>
      <c r="C187" s="12">
        <f t="shared" si="10"/>
        <v>42.941666666666272</v>
      </c>
      <c r="D187" s="1">
        <v>119</v>
      </c>
    </row>
    <row r="188" spans="2:4" x14ac:dyDescent="0.25">
      <c r="B188" s="13">
        <f t="shared" si="8"/>
        <v>3800</v>
      </c>
      <c r="C188" s="12">
        <v>43</v>
      </c>
      <c r="D188" s="1">
        <v>120</v>
      </c>
    </row>
  </sheetData>
  <sheetProtection sheet="1" objects="1" scenarios="1"/>
  <mergeCells count="3">
    <mergeCell ref="B5:C6"/>
    <mergeCell ref="S32:U32"/>
    <mergeCell ref="L11:L12"/>
  </mergeCells>
  <conditionalFormatting sqref="F27">
    <cfRule type="cellIs" dxfId="0" priority="1" operator="equal">
      <formula>"BAD"</formula>
    </cfRule>
  </conditionalFormatting>
  <pageMargins left="0.7" right="0.7" top="0.75" bottom="0.75" header="0.3" footer="0.3"/>
  <pageSetup orientation="portrait" horizontalDpi="0" verticalDpi="0" r:id="rId1"/>
  <ignoredErrors>
    <ignoredError sqref="V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Variable1</vt:lpstr>
      <vt:lpstr>Variable2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Brumbaugh</dc:creator>
  <cp:lastModifiedBy>Alan Larson</cp:lastModifiedBy>
  <dcterms:created xsi:type="dcterms:W3CDTF">2025-11-18T21:39:41Z</dcterms:created>
  <dcterms:modified xsi:type="dcterms:W3CDTF">2026-03-17T19:13:48Z</dcterms:modified>
</cp:coreProperties>
</file>