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_TransNorthern\Aircraft\Beech 200\N541JG\"/>
    </mc:Choice>
  </mc:AlternateContent>
  <xr:revisionPtr revIDLastSave="0" documentId="13_ncr:1_{E0DB8097-071A-42A8-B85D-C4BA1B03AE7B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King Air Loading Calculations" sheetId="1" r:id="rId1"/>
    <sheet name="Instructions" sheetId="2" r:id="rId2"/>
    <sheet name="Ref Data" sheetId="3" r:id="rId3"/>
  </sheets>
  <definedNames>
    <definedName name="Installed_Seat_WT">'Ref Data'!$N$36</definedName>
    <definedName name="Max_Ramp_Wt">'King Air Loading Calculations'!$I$15</definedName>
    <definedName name="Max_Takeoff_Wt">'King Air Loading Calculations'!$I$17</definedName>
    <definedName name="Max_Zero_Fuel_Wt">'King Air Loading Calculations'!$I$13</definedName>
    <definedName name="_xlnm.Print_Area" localSheetId="0">'King Air Loading Calculations'!$C$2:$J$25</definedName>
    <definedName name="SGear_Moment">'Ref Data'!$L$26</definedName>
    <definedName name="SGear_Wt" comment="Survival Gear Weight">'Ref Data'!$L$25</definedName>
    <definedName name="Takeoff_CG">'King Air Loading Calculations'!$G$17</definedName>
    <definedName name="Takeoff_Wt">'King Air Loading Calculations'!$G$16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4" i="1" l="1"/>
  <c r="G13" i="1" l="1"/>
  <c r="N36" i="3" l="1"/>
  <c r="L26" i="3" l="1"/>
  <c r="C20" i="3" s="1"/>
  <c r="L25" i="3"/>
  <c r="X25" i="1"/>
  <c r="X24" i="1"/>
  <c r="X23" i="1"/>
  <c r="X22" i="1"/>
  <c r="X19" i="1"/>
  <c r="X18" i="1"/>
  <c r="X17" i="1"/>
  <c r="X16" i="1"/>
  <c r="X11" i="1" l="1"/>
  <c r="X12" i="1"/>
  <c r="X13" i="1"/>
  <c r="X10" i="1"/>
  <c r="A9" i="3"/>
  <c r="A10" i="3"/>
  <c r="A11" i="3"/>
  <c r="A8" i="3"/>
  <c r="W19" i="3"/>
  <c r="A5" i="3"/>
  <c r="B11" i="3" l="1"/>
  <c r="D11" i="3" s="1"/>
  <c r="B10" i="3"/>
  <c r="D10" i="3" s="1"/>
  <c r="B9" i="3"/>
  <c r="B8" i="3"/>
  <c r="D8" i="3" s="1"/>
  <c r="C6" i="3"/>
  <c r="M17" i="3"/>
  <c r="N17" i="3"/>
  <c r="B20" i="3"/>
  <c r="B19" i="3"/>
  <c r="D19" i="3" s="1"/>
  <c r="B17" i="3"/>
  <c r="D17" i="3" s="1"/>
  <c r="B16" i="3"/>
  <c r="D16" i="3" s="1"/>
  <c r="B15" i="3"/>
  <c r="D15" i="3" s="1"/>
  <c r="B14" i="3"/>
  <c r="D14" i="3" s="1"/>
  <c r="B13" i="3"/>
  <c r="D13" i="3" s="1"/>
  <c r="B7" i="3"/>
  <c r="D7" i="3" s="1"/>
  <c r="B6" i="3"/>
  <c r="N19" i="3"/>
  <c r="C12" i="3" s="1"/>
  <c r="I13" i="3"/>
  <c r="H13" i="3"/>
  <c r="G13" i="3"/>
  <c r="I4" i="3"/>
  <c r="K5" i="3" s="1"/>
  <c r="I9" i="1" s="1"/>
  <c r="F40" i="1" s="1"/>
  <c r="H40" i="1"/>
  <c r="E22" i="1"/>
  <c r="E23" i="1"/>
  <c r="G21" i="1" s="1"/>
  <c r="G22" i="1" s="1"/>
  <c r="G14" i="1"/>
  <c r="G11" i="1"/>
  <c r="O17" i="3" l="1"/>
  <c r="D9" i="3"/>
  <c r="D20" i="3"/>
  <c r="K88" i="3" l="1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M39" i="3"/>
  <c r="K39" i="3"/>
  <c r="O39" i="3" s="1"/>
  <c r="M38" i="3"/>
  <c r="K38" i="3"/>
  <c r="O38" i="3" s="1"/>
  <c r="M37" i="3"/>
  <c r="K37" i="3"/>
  <c r="O37" i="3" s="1"/>
  <c r="M36" i="3"/>
  <c r="K36" i="3"/>
  <c r="O36" i="3" s="1"/>
  <c r="M35" i="3"/>
  <c r="K35" i="3"/>
  <c r="O35" i="3" s="1"/>
  <c r="H31" i="3"/>
  <c r="J31" i="3" s="1"/>
  <c r="H30" i="3"/>
  <c r="J30" i="3" s="1"/>
  <c r="H29" i="3"/>
  <c r="J29" i="3" s="1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M21" i="3"/>
  <c r="M22" i="3" s="1"/>
  <c r="G32" i="1"/>
  <c r="M19" i="3" l="1"/>
  <c r="O19" i="3" s="1"/>
  <c r="J13" i="3"/>
  <c r="K46" i="3"/>
  <c r="I42" i="3"/>
  <c r="K42" i="3"/>
  <c r="K44" i="3"/>
  <c r="I48" i="3"/>
  <c r="I43" i="3"/>
  <c r="K45" i="3"/>
  <c r="I46" i="3"/>
  <c r="I47" i="3"/>
  <c r="K47" i="3"/>
  <c r="K48" i="3"/>
  <c r="K43" i="3"/>
  <c r="I44" i="3"/>
  <c r="I45" i="3"/>
  <c r="U146" i="1"/>
  <c r="B12" i="3" l="1"/>
  <c r="D12" i="3" s="1"/>
  <c r="M20" i="3"/>
  <c r="J42" i="3"/>
  <c r="J46" i="3"/>
  <c r="J44" i="3"/>
  <c r="J48" i="3"/>
  <c r="J45" i="3"/>
  <c r="J43" i="3"/>
  <c r="J47" i="3"/>
  <c r="F35" i="1"/>
  <c r="F36" i="1"/>
  <c r="M16" i="3" s="1"/>
  <c r="F37" i="1"/>
  <c r="F38" i="1"/>
  <c r="F33" i="1"/>
  <c r="H38" i="1"/>
  <c r="F39" i="1"/>
  <c r="F34" i="1"/>
  <c r="M18" i="3" l="1"/>
  <c r="B5" i="3"/>
  <c r="B22" i="3" s="1"/>
  <c r="H36" i="1"/>
  <c r="G36" i="1" s="1"/>
  <c r="H35" i="1"/>
  <c r="G35" i="1" s="1"/>
  <c r="G38" i="1"/>
  <c r="H34" i="1"/>
  <c r="G34" i="1" s="1"/>
  <c r="H39" i="1"/>
  <c r="G39" i="1" s="1"/>
  <c r="H33" i="1"/>
  <c r="G33" i="1" s="1"/>
  <c r="H37" i="1"/>
  <c r="G37" i="1" s="1"/>
  <c r="N16" i="3" l="1"/>
  <c r="C5" i="3" s="1"/>
  <c r="G10" i="1"/>
  <c r="G12" i="1" l="1"/>
  <c r="G15" i="1" s="1"/>
  <c r="H15" i="1" s="1"/>
  <c r="O16" i="3"/>
  <c r="O18" i="3" s="1"/>
  <c r="N18" i="3" s="1"/>
  <c r="G16" i="1" l="1"/>
  <c r="G19" i="1" s="1"/>
  <c r="D5" i="3"/>
  <c r="J21" i="3"/>
  <c r="D6" i="3"/>
  <c r="L88" i="3" l="1"/>
  <c r="L87" i="3" s="1"/>
  <c r="L86" i="3" s="1"/>
  <c r="L85" i="3" s="1"/>
  <c r="L84" i="3" s="1"/>
  <c r="L83" i="3" s="1"/>
  <c r="L82" i="3" s="1"/>
  <c r="L81" i="3" s="1"/>
  <c r="L80" i="3" s="1"/>
  <c r="L79" i="3" s="1"/>
  <c r="L78" i="3" s="1"/>
  <c r="L77" i="3" s="1"/>
  <c r="L76" i="3" s="1"/>
  <c r="L75" i="3" s="1"/>
  <c r="L74" i="3" s="1"/>
  <c r="L73" i="3" s="1"/>
  <c r="L72" i="3" s="1"/>
  <c r="L71" i="3" s="1"/>
  <c r="L70" i="3" s="1"/>
  <c r="L69" i="3" s="1"/>
  <c r="L68" i="3" s="1"/>
  <c r="L67" i="3" s="1"/>
  <c r="L66" i="3" s="1"/>
  <c r="L65" i="3" s="1"/>
  <c r="L64" i="3" s="1"/>
  <c r="G18" i="1" s="1"/>
  <c r="G23" i="3"/>
  <c r="H16" i="1" s="1"/>
  <c r="D22" i="3"/>
  <c r="C22" i="3" s="1"/>
  <c r="G17" i="1" s="1"/>
  <c r="G25" i="3" l="1"/>
  <c r="H17" i="1" s="1"/>
</calcChain>
</file>

<file path=xl/sharedStrings.xml><?xml version="1.0" encoding="utf-8"?>
<sst xmlns="http://schemas.openxmlformats.org/spreadsheetml/2006/main" count="213" uniqueCount="169">
  <si>
    <t>Item</t>
  </si>
  <si>
    <t>Mom</t>
  </si>
  <si>
    <t>Aircraft</t>
  </si>
  <si>
    <t>Crew</t>
  </si>
  <si>
    <t>Cargo B</t>
  </si>
  <si>
    <t>Cargo C</t>
  </si>
  <si>
    <t>Cargo D</t>
  </si>
  <si>
    <t>&lt;-min</t>
  </si>
  <si>
    <t>&lt;-hrs</t>
  </si>
  <si>
    <t>Gal</t>
  </si>
  <si>
    <t>Momx100</t>
  </si>
  <si>
    <t>Arm</t>
  </si>
  <si>
    <t>Pilot &amp; Copilot Only</t>
  </si>
  <si>
    <t>Seats 1 -&gt; 6</t>
  </si>
  <si>
    <t>Seats 1 -&gt; 8</t>
  </si>
  <si>
    <t>Seats 2,4,6,8</t>
  </si>
  <si>
    <t>Seats 1,2,3,4,5</t>
  </si>
  <si>
    <t>All Seats 1 -&gt; 9</t>
  </si>
  <si>
    <t>Don't Change</t>
  </si>
  <si>
    <t>Wt @ 6.7</t>
  </si>
  <si>
    <t>Cargo A</t>
  </si>
  <si>
    <t>Calculations for Forward C.G. Limits</t>
  </si>
  <si>
    <t>Max ZFW per AFM</t>
  </si>
  <si>
    <t>Wing Lockers</t>
  </si>
  <si>
    <t>Leg Dist (nm) -&gt;</t>
  </si>
  <si>
    <t>Grow Wt.</t>
  </si>
  <si>
    <t>Moment</t>
  </si>
  <si>
    <t>Fwd Arm</t>
  </si>
  <si>
    <t>Arm Calc Cell -&gt;</t>
  </si>
  <si>
    <t>Arm Calculator</t>
  </si>
  <si>
    <t>Seats 1/2</t>
  </si>
  <si>
    <t>Seats 3/4</t>
  </si>
  <si>
    <t>Seats 5/6</t>
  </si>
  <si>
    <t>Seats 7/8</t>
  </si>
  <si>
    <t xml:space="preserve">Seat 9 </t>
  </si>
  <si>
    <t>Config  #</t>
  </si>
  <si>
    <t>Weight</t>
  </si>
  <si>
    <t>Config #</t>
  </si>
  <si>
    <t>Max Ramp weight</t>
  </si>
  <si>
    <t>Aerotwin ATFS1-01K</t>
  </si>
  <si>
    <t xml:space="preserve">Seat </t>
  </si>
  <si>
    <t>#</t>
  </si>
  <si>
    <t>Wt</t>
  </si>
  <si>
    <t>Config Seats</t>
  </si>
  <si>
    <t>As Weighed Config</t>
  </si>
  <si>
    <t>ARMS -&gt;</t>
  </si>
  <si>
    <t>Fuel On Board (Cell D11)</t>
  </si>
  <si>
    <t>OK</t>
  </si>
  <si>
    <t>OVER ZFW</t>
  </si>
  <si>
    <t>Fwd Leg</t>
  </si>
  <si>
    <t>F.S.</t>
  </si>
  <si>
    <t>&lt;---- this is for Seats ONLY</t>
  </si>
  <si>
    <t>Seats 1 -&gt; 4</t>
  </si>
  <si>
    <t>Seats 1 &amp; 2</t>
  </si>
  <si>
    <t>Seats Options</t>
  </si>
  <si>
    <t>Seat Option #</t>
  </si>
  <si>
    <t>Date AC Scale Wt.</t>
  </si>
  <si>
    <t xml:space="preserve">        </t>
  </si>
  <si>
    <t>Utilize table cut-n-paste to create seating charts for Metal Box and AFM</t>
  </si>
  <si>
    <t>Unlock Sheet - no password needed - to change weight date, Config #1 Empty wt and ARM</t>
  </si>
  <si>
    <t>(Cell M32 &amp; N32), Seat weights, or Configuration Change Dates, etc.</t>
  </si>
  <si>
    <t>The form is "LOCKED" so that only user editable cells can be changed.   To Unlock sheet go to Home, Format Tab, Protection, - leave the "Password" field Blank and hit enter to lock or unlock</t>
  </si>
  <si>
    <t>Fuel</t>
  </si>
  <si>
    <t>Survive Gear</t>
  </si>
  <si>
    <t xml:space="preserve">Aft Baggage </t>
  </si>
  <si>
    <t>ARM</t>
  </si>
  <si>
    <t>Survival Gear Location</t>
  </si>
  <si>
    <t>Belly Pod</t>
  </si>
  <si>
    <t>Pax in CP seat</t>
  </si>
  <si>
    <t>Zero Fuel Wt -&gt;</t>
  </si>
  <si>
    <t>If you put less than 10 gallons of fuel on board it crashes - don't know why (and don't care - don't do it)</t>
  </si>
  <si>
    <t>IF you have a crew member in the Copilot's seat - Include his/her weight in the CREW weight</t>
  </si>
  <si>
    <t>In config #2 Cargo Weights MAY be added in Cargo B, C, D, &amp; E [if cargo is properly secured].</t>
  </si>
  <si>
    <t>In config #3 &amp; #4 Cargo Weights MAY be added in Cargo C, D, &amp; E [if cargo is properly secured].</t>
  </si>
  <si>
    <t xml:space="preserve">     IF a passenger in the Copilot's seat [and it's legal :-) ] put their weight in next box lower (pax in CP seat)</t>
  </si>
  <si>
    <t>NOTE:  AC weighed in this config without Survival Gear</t>
  </si>
  <si>
    <t>Kingair 200 W&amp;B Calculator</t>
  </si>
  <si>
    <t>Aerotwin ATFS1-01W</t>
  </si>
  <si>
    <t>Seat Wt FS  (+10.5")</t>
  </si>
  <si>
    <t>B99 P/N 99-530073-4</t>
  </si>
  <si>
    <t>NOTE:   THIS EMPTY WEIGHT INCLUDES Survival Gear</t>
  </si>
  <si>
    <t>gallons entered</t>
  </si>
  <si>
    <t>BE200 Fuel Weights &amp; Arms</t>
  </si>
  <si>
    <t>&lt;- Seat # Entered</t>
  </si>
  <si>
    <t>Bad Lookup</t>
  </si>
  <si>
    <t>… etc… don't put cargo in an area that has a seat installed unless it is secured by the Seat Belt.</t>
  </si>
  <si>
    <t>Questions or Suggestions - Blame Alan!</t>
  </si>
  <si>
    <t>Calculated Cells</t>
  </si>
  <si>
    <t>A/C Number</t>
  </si>
  <si>
    <t>A/C Model</t>
  </si>
  <si>
    <t>A/C SN</t>
  </si>
  <si>
    <t>Config date:</t>
  </si>
  <si>
    <t>Seats  1/2</t>
  </si>
  <si>
    <t>&lt; -Ref Company Loading worksheet</t>
  </si>
  <si>
    <t>Seats  3/4</t>
  </si>
  <si>
    <t>Seats  5/6</t>
  </si>
  <si>
    <t>A/C Empty Wt -&gt;</t>
  </si>
  <si>
    <t xml:space="preserve">&lt; -Per currrent config  </t>
  </si>
  <si>
    <t>Seats  7/8</t>
  </si>
  <si>
    <t>Crew Weight -&gt;</t>
  </si>
  <si>
    <t>Seat 9</t>
  </si>
  <si>
    <t>B.O.W. -&gt;</t>
  </si>
  <si>
    <t>(Includes S/Gear)</t>
  </si>
  <si>
    <t>Cargo A (880 Max)</t>
  </si>
  <si>
    <t xml:space="preserve"> Total Payload  -&gt;</t>
  </si>
  <si>
    <t>Cargo B (860 Max)</t>
  </si>
  <si>
    <t>Cargo C (830 Max)</t>
  </si>
  <si>
    <t>Ramp fuel -&gt;</t>
  </si>
  <si>
    <t>Cargo D (325 max)</t>
  </si>
  <si>
    <t>Loaded C.G. -&gt;</t>
  </si>
  <si>
    <t>CG Range -&gt;</t>
  </si>
  <si>
    <t xml:space="preserve">  -    196.4</t>
  </si>
  <si>
    <r>
      <t xml:space="preserve">Gal Fuel </t>
    </r>
    <r>
      <rPr>
        <b/>
        <sz val="10"/>
        <color rgb="FF000000"/>
        <rFont val="Tahoma"/>
        <family val="2"/>
      </rPr>
      <t>Max 544</t>
    </r>
  </si>
  <si>
    <t>Landing Wt -&gt;</t>
  </si>
  <si>
    <t>AFM Part #</t>
  </si>
  <si>
    <t xml:space="preserve">Survival Gear = </t>
  </si>
  <si>
    <t>S. Gear Location -&gt;</t>
  </si>
  <si>
    <t>Rev 5 - agl</t>
  </si>
  <si>
    <t>Aft Bag  E (410 Max)</t>
  </si>
  <si>
    <t>Max GTOW</t>
  </si>
  <si>
    <t>(ensure correct seat weight in Column N, Row36)</t>
  </si>
  <si>
    <t>Cargo E</t>
  </si>
  <si>
    <t>Cockpit</t>
  </si>
  <si>
    <t>&lt;-Survival Gear Weight</t>
  </si>
  <si>
    <t>&lt;-Survival Gear Arm</t>
  </si>
  <si>
    <t>S. Gear</t>
  </si>
  <si>
    <t>Total</t>
  </si>
  <si>
    <t>Didn't use these values in Calculations…entered on separate line in list B4:E22</t>
  </si>
  <si>
    <t>&lt;- Totals</t>
  </si>
  <si>
    <t>Estimated Trip time -&gt;</t>
  </si>
  <si>
    <t>Config</t>
  </si>
  <si>
    <t>Hr</t>
  </si>
  <si>
    <t>Gal - OW -&gt;</t>
  </si>
  <si>
    <t>IFR_R/T Fuel -&gt;</t>
  </si>
  <si>
    <t>Gallons</t>
  </si>
  <si>
    <t>AC Loaded Wt -&gt;</t>
  </si>
  <si>
    <t>Max Takeoff Wt     12,500#</t>
  </si>
  <si>
    <t>Max Ramp Wt     12,590#</t>
  </si>
  <si>
    <t>Fuel Burn/hr -&gt;</t>
  </si>
  <si>
    <t xml:space="preserve">Selected P/N:  </t>
  </si>
  <si>
    <t>Seats P/N -&gt;</t>
  </si>
  <si>
    <t xml:space="preserve">Wing Locker  </t>
  </si>
  <si>
    <t>F.S. 162</t>
  </si>
  <si>
    <t>&lt;- Choose Option</t>
  </si>
  <si>
    <t>Wt. Each =</t>
  </si>
  <si>
    <t>Empty weights are based on installed Seat P/N -&gt;</t>
  </si>
  <si>
    <t>editable on Calculator page</t>
  </si>
  <si>
    <t>from Drop list on Calc Page</t>
  </si>
  <si>
    <t>Legs</t>
  </si>
  <si>
    <t>Pax</t>
  </si>
  <si>
    <t>Seat</t>
  </si>
  <si>
    <t>Pax Wt</t>
  </si>
  <si>
    <t>N541JG</t>
  </si>
  <si>
    <t>B200</t>
  </si>
  <si>
    <t>BB-989</t>
  </si>
  <si>
    <t>Orange Cells - you're not susposed to mess and they are Locked so you can't.                                It's appropriate to save your current version of Loading info for Ramp checks :-)</t>
  </si>
  <si>
    <t>101-590010-147C9</t>
  </si>
  <si>
    <r>
      <t xml:space="preserve">Wing Lockers </t>
    </r>
    <r>
      <rPr>
        <sz val="8"/>
        <color rgb="FF000000"/>
        <rFont val="Tahoma"/>
        <family val="2"/>
      </rPr>
      <t>(Max 300 ea)</t>
    </r>
  </si>
  <si>
    <t>Aircraft Configuration Date:   Sept 2, 2024</t>
  </si>
  <si>
    <r>
      <rPr>
        <b/>
        <sz val="10"/>
        <rFont val="Tahoma"/>
        <family val="2"/>
      </rPr>
      <t>"Config date:"</t>
    </r>
    <r>
      <rPr>
        <sz val="10"/>
        <rFont val="Tahoma"/>
        <family val="2"/>
      </rPr>
      <t xml:space="preserve"> means if Aircraft empty weight is changed by Maintenance Or reweighed and updated by the Records department - it should match last revision date of Equipment list in AFM</t>
    </r>
  </si>
  <si>
    <t>Survival is set to weight 41 lbs.  - Which what it weighed on Sept 2, 2024 (Unlock sheet to change that cell)</t>
  </si>
  <si>
    <r>
      <t xml:space="preserve">Max Zero Fuel Wt    </t>
    </r>
    <r>
      <rPr>
        <sz val="10"/>
        <color rgb="FF000000"/>
        <rFont val="Tahoma"/>
        <family val="2"/>
      </rPr>
      <t>11,000#</t>
    </r>
  </si>
  <si>
    <t>N541JG was weighed in ALL Cargo Configuration -                                                                                                    See W&amp;B report in AFM -                     Date:  Sept 2, 2024</t>
  </si>
  <si>
    <t>14.0#s</t>
  </si>
  <si>
    <t>Use this to paste on Hard Copy Work Sheet</t>
  </si>
  <si>
    <t xml:space="preserve">Model 690-1C </t>
  </si>
  <si>
    <t>Mod 690-1C (Commpter Air)</t>
  </si>
  <si>
    <t>Aircraft Configuration Date:   July,  2025</t>
  </si>
  <si>
    <r>
      <t xml:space="preserve">        Based on Seat</t>
    </r>
    <r>
      <rPr>
        <b/>
        <i/>
        <sz val="8"/>
        <color rgb="FF000000"/>
        <rFont val="Tahoma"/>
        <family val="2"/>
      </rPr>
      <t xml:space="preserve"> P/N  99-530073-4</t>
    </r>
    <r>
      <rPr>
        <i/>
        <sz val="8"/>
        <color indexed="8"/>
        <rFont val="Tahoma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</si>
</sst>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"/>
    <numFmt numFmtId="165" formatCode="0.0"/>
    <numFmt numFmtId="166" formatCode="0.0%"/>
    <numFmt numFmtId="167" formatCode="#,##0.0"/>
    <numFmt numFmtId="168" formatCode="[$-409]mmmm\ d\,\ yyyy;@"/>
    <numFmt numFmtId="169" formatCode="[$-409]dd\-mmm\-yy;@"/>
  </numFmts>
  <fonts count="63" x14ac:knownFonts="1">
    <font>
      <sz val="10"/>
      <name val="Tahoma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name val="MS Sans Serif"/>
    </font>
    <font>
      <i/>
      <sz val="8"/>
      <color indexed="8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i/>
      <sz val="9"/>
      <color indexed="8"/>
      <name val="Tahoma"/>
      <family val="2"/>
    </font>
    <font>
      <sz val="6"/>
      <color indexed="8"/>
      <name val="Tahoma"/>
      <family val="2"/>
    </font>
    <font>
      <b/>
      <sz val="6"/>
      <color indexed="8"/>
      <name val="Tahoma"/>
      <family val="2"/>
    </font>
    <font>
      <sz val="6"/>
      <name val="Tahoma"/>
      <family val="2"/>
    </font>
    <font>
      <b/>
      <i/>
      <sz val="6"/>
      <color indexed="8"/>
      <name val="Tahoma"/>
      <family val="2"/>
    </font>
    <font>
      <b/>
      <sz val="6"/>
      <name val="Tahoma"/>
      <family val="2"/>
    </font>
    <font>
      <b/>
      <sz val="6"/>
      <name val="MS Sans Serif"/>
      <family val="2"/>
    </font>
    <font>
      <sz val="6"/>
      <name val="MS Sans Serif"/>
      <family val="2"/>
    </font>
    <font>
      <b/>
      <sz val="6"/>
      <name val="MS Sans Serif"/>
    </font>
    <font>
      <b/>
      <i/>
      <sz val="6"/>
      <name val="Tahoma"/>
      <family val="2"/>
    </font>
    <font>
      <sz val="6"/>
      <name val="MS Sans Serif"/>
    </font>
    <font>
      <b/>
      <sz val="8"/>
      <name val="MS Sans Serif"/>
      <family val="2"/>
    </font>
    <font>
      <sz val="8"/>
      <name val="MS Sans Serif"/>
      <family val="2"/>
    </font>
    <font>
      <b/>
      <sz val="9"/>
      <color indexed="8"/>
      <name val="Tahoma"/>
      <family val="2"/>
    </font>
    <font>
      <sz val="8"/>
      <name val="Tahoma"/>
      <family val="2"/>
    </font>
    <font>
      <b/>
      <i/>
      <sz val="8"/>
      <color indexed="8"/>
      <name val="Tahoma"/>
      <family val="2"/>
    </font>
    <font>
      <b/>
      <sz val="8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i/>
      <sz val="8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C00000"/>
      <name val="Tahoma"/>
      <family val="2"/>
    </font>
    <font>
      <b/>
      <sz val="10"/>
      <color rgb="FFC00000"/>
      <name val="Tahoma"/>
      <family val="2"/>
    </font>
    <font>
      <b/>
      <sz val="8"/>
      <color theme="1"/>
      <name val="Tahoma"/>
      <family val="2"/>
    </font>
    <font>
      <i/>
      <sz val="8"/>
      <color theme="1"/>
      <name val="Calibri"/>
      <family val="2"/>
      <scheme val="minor"/>
    </font>
    <font>
      <b/>
      <sz val="14"/>
      <color indexed="8"/>
      <name val="Segoe UI Black"/>
      <family val="2"/>
    </font>
    <font>
      <sz val="12"/>
      <color indexed="8"/>
      <name val="Segoe UI Black"/>
      <family val="2"/>
    </font>
    <font>
      <sz val="12"/>
      <name val="Segoe UI Black"/>
      <family val="2"/>
    </font>
    <font>
      <b/>
      <i/>
      <sz val="20"/>
      <color indexed="8"/>
      <name val="Britannic Bold"/>
      <family val="2"/>
    </font>
    <font>
      <b/>
      <i/>
      <sz val="20"/>
      <name val="Britannic Bold"/>
      <family val="2"/>
    </font>
    <font>
      <b/>
      <sz val="8"/>
      <color rgb="FF00FFFF"/>
      <name val="Tahoma"/>
      <family val="2"/>
    </font>
    <font>
      <sz val="8"/>
      <color rgb="FF00FFFF"/>
      <name val="Tahoma"/>
      <family val="2"/>
    </font>
    <font>
      <i/>
      <sz val="8"/>
      <name val="Tahoma"/>
      <family val="2"/>
    </font>
    <font>
      <sz val="7"/>
      <color indexed="8"/>
      <name val="Tahoma"/>
      <family val="2"/>
    </font>
    <font>
      <sz val="7"/>
      <name val="Tahoma"/>
      <family val="2"/>
    </font>
    <font>
      <sz val="32"/>
      <color indexed="8"/>
      <name val="Tahoma"/>
      <family val="2"/>
    </font>
    <font>
      <sz val="32"/>
      <name val="Tahoma"/>
      <family val="2"/>
    </font>
    <font>
      <b/>
      <i/>
      <sz val="7"/>
      <color indexed="8"/>
      <name val="Tahoma"/>
      <family val="2"/>
    </font>
    <font>
      <b/>
      <sz val="7"/>
      <color indexed="8"/>
      <name val="Tahoma"/>
      <family val="2"/>
    </font>
    <font>
      <b/>
      <i/>
      <sz val="8"/>
      <name val="Tahoma"/>
      <family val="2"/>
    </font>
    <font>
      <sz val="10"/>
      <color rgb="FF000000"/>
      <name val="Tahoma"/>
      <family val="2"/>
    </font>
    <font>
      <sz val="7"/>
      <color rgb="FF000000"/>
      <name val="Tahoma"/>
      <family val="2"/>
    </font>
    <font>
      <sz val="9"/>
      <color indexed="8"/>
      <name val="Tahoma"/>
      <family val="2"/>
    </font>
    <font>
      <i/>
      <sz val="6"/>
      <color indexed="8"/>
      <name val="Tahoma"/>
      <family val="2"/>
    </font>
    <font>
      <b/>
      <i/>
      <sz val="12"/>
      <color indexed="8"/>
      <name val="Tahoma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sz val="9"/>
      <color rgb="FF00FFFF"/>
      <name val="Tahoma"/>
      <family val="2"/>
    </font>
    <font>
      <sz val="9"/>
      <color rgb="FF00FFFF"/>
      <name val="Tahoma"/>
      <family val="2"/>
    </font>
    <font>
      <b/>
      <i/>
      <sz val="8"/>
      <color rgb="FF000000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 style="dashDot">
        <color auto="1"/>
      </bottom>
      <diagonal/>
    </border>
    <border>
      <left/>
      <right/>
      <top style="medium">
        <color auto="1"/>
      </top>
      <bottom style="dashDot">
        <color auto="1"/>
      </bottom>
      <diagonal/>
    </border>
    <border>
      <left/>
      <right style="thick">
        <color auto="1"/>
      </right>
      <top style="medium">
        <color auto="1"/>
      </top>
      <bottom style="dashDot">
        <color auto="1"/>
      </bottom>
      <diagonal/>
    </border>
    <border>
      <left style="thick">
        <color auto="1"/>
      </left>
      <right/>
      <top style="dashDot">
        <color auto="1"/>
      </top>
      <bottom style="dashDot">
        <color auto="1"/>
      </bottom>
      <diagonal/>
    </border>
    <border>
      <left/>
      <right/>
      <top style="dashDot">
        <color auto="1"/>
      </top>
      <bottom style="dashDot">
        <color auto="1"/>
      </bottom>
      <diagonal/>
    </border>
    <border>
      <left/>
      <right style="thick">
        <color auto="1"/>
      </right>
      <top style="dashDot">
        <color auto="1"/>
      </top>
      <bottom style="dashDot">
        <color auto="1"/>
      </bottom>
      <diagonal/>
    </border>
    <border>
      <left style="thick">
        <color auto="1"/>
      </left>
      <right/>
      <top style="dashDot">
        <color auto="1"/>
      </top>
      <bottom style="thick">
        <color auto="1"/>
      </bottom>
      <diagonal/>
    </border>
    <border>
      <left/>
      <right/>
      <top style="dashDot">
        <color auto="1"/>
      </top>
      <bottom style="thick">
        <color auto="1"/>
      </bottom>
      <diagonal/>
    </border>
    <border>
      <left/>
      <right style="thick">
        <color auto="1"/>
      </right>
      <top style="dashDot">
        <color auto="1"/>
      </top>
      <bottom style="thick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auto="1"/>
      </left>
      <right/>
      <top style="thick">
        <color auto="1"/>
      </top>
      <bottom style="dotted">
        <color auto="1"/>
      </bottom>
      <diagonal/>
    </border>
    <border>
      <left/>
      <right style="thick">
        <color auto="1"/>
      </right>
      <top style="thick">
        <color auto="1"/>
      </top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 style="thick">
        <color auto="1"/>
      </bottom>
      <diagonal/>
    </border>
    <border>
      <left/>
      <right style="thick">
        <color auto="1"/>
      </right>
      <top style="dotted">
        <color auto="1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dotted">
        <color indexed="64"/>
      </left>
      <right style="dotted">
        <color auto="1"/>
      </right>
      <top style="dashDot">
        <color auto="1"/>
      </top>
      <bottom style="dotted">
        <color indexed="64"/>
      </bottom>
      <diagonal/>
    </border>
    <border>
      <left style="dashDot">
        <color auto="1"/>
      </left>
      <right/>
      <top style="medium">
        <color auto="1"/>
      </top>
      <bottom style="dashDot">
        <color auto="1"/>
      </bottom>
      <diagonal/>
    </border>
    <border>
      <left/>
      <right style="medium">
        <color auto="1"/>
      </right>
      <top style="medium">
        <color auto="1"/>
      </top>
      <bottom style="dashDot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ashed">
        <color auto="1"/>
      </bottom>
      <diagonal/>
    </border>
    <border>
      <left style="dotted">
        <color auto="1"/>
      </left>
      <right style="thick">
        <color indexed="64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ck">
        <color indexed="64"/>
      </right>
      <top/>
      <bottom style="dotted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thick">
        <color indexed="64"/>
      </bottom>
      <diagonal/>
    </border>
  </borders>
  <cellStyleXfs count="2">
    <xf numFmtId="0" fontId="0" fillId="0" borderId="0"/>
    <xf numFmtId="0" fontId="3" fillId="0" borderId="0"/>
  </cellStyleXfs>
  <cellXfs count="371">
    <xf numFmtId="0" fontId="0" fillId="0" borderId="0" xfId="0"/>
    <xf numFmtId="0" fontId="0" fillId="0" borderId="0" xfId="0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3" fontId="1" fillId="2" borderId="45" xfId="0" applyNumberFormat="1" applyFont="1" applyFill="1" applyBorder="1" applyAlignment="1" applyProtection="1">
      <alignment horizontal="center"/>
      <protection locked="0"/>
    </xf>
    <xf numFmtId="3" fontId="1" fillId="2" borderId="55" xfId="0" applyNumberFormat="1" applyFont="1" applyFill="1" applyBorder="1" applyAlignment="1" applyProtection="1">
      <alignment horizontal="center"/>
      <protection locked="0"/>
    </xf>
    <xf numFmtId="3" fontId="1" fillId="5" borderId="97" xfId="0" applyNumberFormat="1" applyFont="1" applyFill="1" applyBorder="1" applyAlignment="1" applyProtection="1">
      <alignment horizontal="center"/>
      <protection locked="0"/>
    </xf>
    <xf numFmtId="3" fontId="1" fillId="5" borderId="45" xfId="0" applyNumberFormat="1" applyFont="1" applyFill="1" applyBorder="1" applyAlignment="1" applyProtection="1">
      <alignment horizontal="center"/>
      <protection locked="0"/>
    </xf>
    <xf numFmtId="3" fontId="1" fillId="5" borderId="55" xfId="0" applyNumberFormat="1" applyFont="1" applyFill="1" applyBorder="1" applyAlignment="1" applyProtection="1">
      <alignment horizontal="center"/>
      <protection locked="0"/>
    </xf>
    <xf numFmtId="0" fontId="1" fillId="2" borderId="44" xfId="0" applyFont="1" applyFill="1" applyBorder="1" applyAlignment="1" applyProtection="1">
      <alignment horizontal="center"/>
      <protection locked="0"/>
    </xf>
    <xf numFmtId="0" fontId="1" fillId="9" borderId="53" xfId="0" applyFont="1" applyFill="1" applyBorder="1" applyAlignment="1" applyProtection="1">
      <alignment horizontal="center"/>
      <protection locked="0"/>
    </xf>
    <xf numFmtId="0" fontId="1" fillId="2" borderId="53" xfId="0" applyFont="1" applyFill="1" applyBorder="1" applyAlignment="1" applyProtection="1">
      <alignment horizontal="center"/>
      <protection locked="0"/>
    </xf>
    <xf numFmtId="0" fontId="1" fillId="12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" fillId="0" borderId="58" xfId="0" applyFont="1" applyBorder="1"/>
    <xf numFmtId="0" fontId="11" fillId="4" borderId="85" xfId="0" applyFont="1" applyFill="1" applyBorder="1" applyAlignment="1">
      <alignment horizontal="center"/>
    </xf>
    <xf numFmtId="0" fontId="1" fillId="0" borderId="60" xfId="0" applyFont="1" applyBorder="1"/>
    <xf numFmtId="0" fontId="1" fillId="0" borderId="61" xfId="0" applyFont="1" applyBorder="1"/>
    <xf numFmtId="0" fontId="11" fillId="4" borderId="4" xfId="0" applyFont="1" applyFill="1" applyBorder="1" applyAlignment="1">
      <alignment horizontal="center"/>
    </xf>
    <xf numFmtId="0" fontId="1" fillId="0" borderId="62" xfId="0" applyFont="1" applyBorder="1"/>
    <xf numFmtId="0" fontId="1" fillId="0" borderId="72" xfId="0" applyFont="1" applyBorder="1" applyAlignment="1">
      <alignment horizontal="center"/>
    </xf>
    <xf numFmtId="0" fontId="1" fillId="0" borderId="83" xfId="0" applyFont="1" applyBorder="1"/>
    <xf numFmtId="0" fontId="30" fillId="0" borderId="108" xfId="0" applyFont="1" applyBorder="1" applyAlignment="1">
      <alignment horizontal="center"/>
    </xf>
    <xf numFmtId="0" fontId="30" fillId="0" borderId="109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4" borderId="78" xfId="0" applyFont="1" applyFill="1" applyBorder="1" applyAlignment="1">
      <alignment horizontal="center"/>
    </xf>
    <xf numFmtId="0" fontId="2" fillId="3" borderId="86" xfId="0" applyFont="1" applyFill="1" applyBorder="1" applyAlignment="1">
      <alignment horizontal="right"/>
    </xf>
    <xf numFmtId="0" fontId="2" fillId="0" borderId="6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4" borderId="52" xfId="0" applyFont="1" applyFill="1" applyBorder="1" applyAlignment="1">
      <alignment horizontal="center"/>
    </xf>
    <xf numFmtId="0" fontId="2" fillId="3" borderId="69" xfId="0" applyFont="1" applyFill="1" applyBorder="1" applyAlignment="1">
      <alignment horizontal="right"/>
    </xf>
    <xf numFmtId="0" fontId="0" fillId="10" borderId="57" xfId="0" applyFill="1" applyBorder="1"/>
    <xf numFmtId="169" fontId="28" fillId="4" borderId="88" xfId="0" applyNumberFormat="1" applyFont="1" applyFill="1" applyBorder="1" applyAlignment="1">
      <alignment horizontal="center"/>
    </xf>
    <xf numFmtId="0" fontId="1" fillId="4" borderId="89" xfId="0" applyFont="1" applyFill="1" applyBorder="1" applyAlignment="1">
      <alignment horizontal="right"/>
    </xf>
    <xf numFmtId="0" fontId="49" fillId="0" borderId="91" xfId="0" applyFont="1" applyBorder="1" applyAlignment="1">
      <alignment horizontal="left"/>
    </xf>
    <xf numFmtId="0" fontId="0" fillId="0" borderId="51" xfId="0" applyBorder="1"/>
    <xf numFmtId="0" fontId="1" fillId="4" borderId="92" xfId="0" applyFont="1" applyFill="1" applyBorder="1" applyAlignment="1">
      <alignment horizontal="right"/>
    </xf>
    <xf numFmtId="0" fontId="50" fillId="4" borderId="88" xfId="0" applyFont="1" applyFill="1" applyBorder="1" applyAlignment="1">
      <alignment horizontal="left" vertical="center"/>
    </xf>
    <xf numFmtId="0" fontId="1" fillId="4" borderId="86" xfId="0" applyFont="1" applyFill="1" applyBorder="1" applyAlignment="1">
      <alignment horizontal="right"/>
    </xf>
    <xf numFmtId="3" fontId="1" fillId="4" borderId="25" xfId="0" applyNumberFormat="1" applyFont="1" applyFill="1" applyBorder="1" applyAlignment="1">
      <alignment horizontal="center"/>
    </xf>
    <xf numFmtId="0" fontId="1" fillId="4" borderId="111" xfId="0" applyFont="1" applyFill="1" applyBorder="1" applyAlignment="1">
      <alignment horizontal="right"/>
    </xf>
    <xf numFmtId="3" fontId="1" fillId="4" borderId="53" xfId="0" applyNumberFormat="1" applyFont="1" applyFill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51" xfId="0" applyFont="1" applyBorder="1"/>
    <xf numFmtId="0" fontId="7" fillId="0" borderId="0" xfId="0" applyFont="1"/>
    <xf numFmtId="0" fontId="1" fillId="4" borderId="79" xfId="0" applyFont="1" applyFill="1" applyBorder="1" applyAlignment="1">
      <alignment horizontal="center"/>
    </xf>
    <xf numFmtId="0" fontId="8" fillId="0" borderId="87" xfId="0" applyFont="1" applyBorder="1" applyAlignment="1">
      <alignment horizontal="left"/>
    </xf>
    <xf numFmtId="0" fontId="29" fillId="4" borderId="111" xfId="0" applyFont="1" applyFill="1" applyBorder="1" applyAlignment="1">
      <alignment horizontal="right"/>
    </xf>
    <xf numFmtId="3" fontId="29" fillId="4" borderId="53" xfId="0" applyNumberFormat="1" applyFont="1" applyFill="1" applyBorder="1" applyAlignment="1">
      <alignment horizontal="center"/>
    </xf>
    <xf numFmtId="0" fontId="7" fillId="15" borderId="99" xfId="0" applyFont="1" applyFill="1" applyBorder="1" applyAlignment="1">
      <alignment horizontal="center" vertical="center"/>
    </xf>
    <xf numFmtId="3" fontId="2" fillId="4" borderId="53" xfId="0" applyNumberFormat="1" applyFont="1" applyFill="1" applyBorder="1" applyAlignment="1">
      <alignment horizontal="center"/>
    </xf>
    <xf numFmtId="2" fontId="2" fillId="4" borderId="101" xfId="0" applyNumberFormat="1" applyFont="1" applyFill="1" applyBorder="1" applyAlignment="1">
      <alignment horizontal="center"/>
    </xf>
    <xf numFmtId="0" fontId="7" fillId="15" borderId="101" xfId="0" applyFont="1" applyFill="1" applyBorder="1" applyAlignment="1">
      <alignment horizontal="center" vertical="center"/>
    </xf>
    <xf numFmtId="0" fontId="1" fillId="4" borderId="113" xfId="0" applyFont="1" applyFill="1" applyBorder="1" applyAlignment="1">
      <alignment horizontal="right"/>
    </xf>
    <xf numFmtId="165" fontId="2" fillId="4" borderId="55" xfId="0" applyNumberFormat="1" applyFont="1" applyFill="1" applyBorder="1" applyAlignment="1">
      <alignment horizontal="right"/>
    </xf>
    <xf numFmtId="0" fontId="30" fillId="4" borderId="50" xfId="0" quotePrefix="1" applyFont="1" applyFill="1" applyBorder="1" applyAlignment="1">
      <alignment horizontal="left"/>
    </xf>
    <xf numFmtId="0" fontId="1" fillId="4" borderId="112" xfId="0" applyFont="1" applyFill="1" applyBorder="1" applyAlignment="1">
      <alignment horizontal="center"/>
    </xf>
    <xf numFmtId="0" fontId="0" fillId="4" borderId="117" xfId="0" applyFill="1" applyBorder="1" applyAlignment="1">
      <alignment horizontal="right"/>
    </xf>
    <xf numFmtId="3" fontId="0" fillId="4" borderId="101" xfId="0" applyNumberFormat="1" applyFill="1" applyBorder="1" applyAlignment="1">
      <alignment horizontal="center"/>
    </xf>
    <xf numFmtId="0" fontId="29" fillId="0" borderId="62" xfId="0" applyFont="1" applyBorder="1"/>
    <xf numFmtId="0" fontId="1" fillId="4" borderId="52" xfId="0" applyFont="1" applyFill="1" applyBorder="1" applyAlignment="1">
      <alignment horizontal="right"/>
    </xf>
    <xf numFmtId="0" fontId="25" fillId="4" borderId="53" xfId="0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1" fillId="7" borderId="52" xfId="0" applyFont="1" applyFill="1" applyBorder="1" applyAlignment="1">
      <alignment horizontal="right"/>
    </xf>
    <xf numFmtId="0" fontId="1" fillId="4" borderId="53" xfId="0" applyFont="1" applyFill="1" applyBorder="1" applyAlignment="1">
      <alignment horizontal="right"/>
    </xf>
    <xf numFmtId="1" fontId="1" fillId="4" borderId="53" xfId="0" applyNumberFormat="1" applyFont="1" applyFill="1" applyBorder="1" applyAlignment="1">
      <alignment horizontal="center" vertical="center"/>
    </xf>
    <xf numFmtId="0" fontId="9" fillId="7" borderId="0" xfId="0" applyFont="1" applyFill="1"/>
    <xf numFmtId="0" fontId="29" fillId="4" borderId="98" xfId="0" applyFont="1" applyFill="1" applyBorder="1" applyAlignment="1">
      <alignment horizontal="center"/>
    </xf>
    <xf numFmtId="0" fontId="0" fillId="0" borderId="62" xfId="0" applyBorder="1"/>
    <xf numFmtId="0" fontId="0" fillId="0" borderId="0" xfId="0" applyAlignment="1">
      <alignment horizontal="center"/>
    </xf>
    <xf numFmtId="165" fontId="1" fillId="4" borderId="53" xfId="0" applyNumberFormat="1" applyFont="1" applyFill="1" applyBorder="1" applyAlignment="1">
      <alignment horizontal="center" vertical="center"/>
    </xf>
    <xf numFmtId="0" fontId="35" fillId="4" borderId="100" xfId="0" applyFont="1" applyFill="1" applyBorder="1" applyAlignment="1">
      <alignment horizontal="center"/>
    </xf>
    <xf numFmtId="0" fontId="1" fillId="7" borderId="82" xfId="0" applyFont="1" applyFill="1" applyBorder="1" applyAlignment="1">
      <alignment horizontal="center"/>
    </xf>
    <xf numFmtId="165" fontId="1" fillId="4" borderId="118" xfId="0" applyNumberFormat="1" applyFont="1" applyFill="1" applyBorder="1" applyAlignment="1">
      <alignment horizontal="center" vertical="center"/>
    </xf>
    <xf numFmtId="0" fontId="1" fillId="7" borderId="83" xfId="0" applyFont="1" applyFill="1" applyBorder="1"/>
    <xf numFmtId="3" fontId="16" fillId="0" borderId="0" xfId="0" applyNumberFormat="1" applyFont="1"/>
    <xf numFmtId="0" fontId="1" fillId="0" borderId="63" xfId="0" applyFont="1" applyBorder="1"/>
    <xf numFmtId="0" fontId="1" fillId="0" borderId="64" xfId="0" applyFont="1" applyBorder="1" applyAlignment="1">
      <alignment horizontal="center"/>
    </xf>
    <xf numFmtId="0" fontId="1" fillId="0" borderId="64" xfId="0" applyFont="1" applyBorder="1"/>
    <xf numFmtId="0" fontId="0" fillId="0" borderId="64" xfId="0" applyBorder="1"/>
    <xf numFmtId="0" fontId="36" fillId="0" borderId="64" xfId="0" applyFont="1" applyBorder="1" applyAlignment="1">
      <alignment horizontal="center"/>
    </xf>
    <xf numFmtId="0" fontId="1" fillId="0" borderId="65" xfId="0" applyFont="1" applyBorder="1"/>
    <xf numFmtId="0" fontId="0" fillId="0" borderId="59" xfId="0" applyBorder="1"/>
    <xf numFmtId="0" fontId="1" fillId="12" borderId="0" xfId="0" applyFont="1" applyFill="1" applyAlignment="1">
      <alignment horizontal="center"/>
    </xf>
    <xf numFmtId="164" fontId="1" fillId="12" borderId="0" xfId="0" applyNumberFormat="1" applyFont="1" applyFill="1"/>
    <xf numFmtId="165" fontId="12" fillId="0" borderId="0" xfId="0" applyNumberFormat="1" applyFont="1"/>
    <xf numFmtId="0" fontId="12" fillId="0" borderId="82" xfId="0" applyFont="1" applyBorder="1"/>
    <xf numFmtId="0" fontId="7" fillId="0" borderId="83" xfId="0" applyFont="1" applyBorder="1" applyAlignment="1">
      <alignment horizontal="center"/>
    </xf>
    <xf numFmtId="0" fontId="26" fillId="0" borderId="83" xfId="0" applyFont="1" applyBorder="1" applyAlignment="1">
      <alignment horizontal="center"/>
    </xf>
    <xf numFmtId="0" fontId="0" fillId="0" borderId="72" xfId="0" applyBorder="1" applyAlignment="1">
      <alignment horizontal="center"/>
    </xf>
    <xf numFmtId="0" fontId="16" fillId="0" borderId="0" xfId="0" applyFont="1" applyAlignment="1">
      <alignment horizontal="center"/>
    </xf>
    <xf numFmtId="0" fontId="12" fillId="14" borderId="107" xfId="0" applyFont="1" applyFill="1" applyBorder="1"/>
    <xf numFmtId="0" fontId="3" fillId="14" borderId="106" xfId="1" applyFill="1" applyBorder="1" applyAlignment="1">
      <alignment horizontal="right"/>
    </xf>
    <xf numFmtId="0" fontId="4" fillId="14" borderId="37" xfId="1" applyFont="1" applyFill="1" applyBorder="1" applyAlignment="1">
      <alignment horizontal="center"/>
    </xf>
    <xf numFmtId="3" fontId="22" fillId="14" borderId="37" xfId="1" applyNumberFormat="1" applyFont="1" applyFill="1" applyBorder="1" applyAlignment="1">
      <alignment horizontal="center"/>
    </xf>
    <xf numFmtId="2" fontId="22" fillId="14" borderId="77" xfId="1" applyNumberFormat="1" applyFont="1" applyFill="1" applyBorder="1" applyAlignment="1">
      <alignment horizontal="center"/>
    </xf>
    <xf numFmtId="0" fontId="12" fillId="0" borderId="26" xfId="0" applyFont="1" applyBorder="1"/>
    <xf numFmtId="0" fontId="3" fillId="0" borderId="27" xfId="1" applyBorder="1" applyAlignment="1">
      <alignment horizontal="right"/>
    </xf>
    <xf numFmtId="0" fontId="4" fillId="0" borderId="15" xfId="1" applyFont="1" applyBorder="1" applyAlignment="1">
      <alignment horizontal="center"/>
    </xf>
    <xf numFmtId="3" fontId="23" fillId="0" borderId="15" xfId="1" applyNumberFormat="1" applyFont="1" applyBorder="1" applyAlignment="1">
      <alignment horizontal="center"/>
    </xf>
    <xf numFmtId="2" fontId="23" fillId="0" borderId="75" xfId="1" applyNumberFormat="1" applyFont="1" applyBorder="1" applyAlignment="1">
      <alignment horizontal="center"/>
    </xf>
    <xf numFmtId="3" fontId="8" fillId="0" borderId="75" xfId="0" applyNumberFormat="1" applyFont="1" applyBorder="1" applyAlignment="1">
      <alignment horizontal="center"/>
    </xf>
    <xf numFmtId="0" fontId="14" fillId="0" borderId="0" xfId="0" applyFont="1"/>
    <xf numFmtId="0" fontId="0" fillId="0" borderId="72" xfId="0" applyBorder="1"/>
    <xf numFmtId="0" fontId="12" fillId="0" borderId="18" xfId="0" applyFont="1" applyBorder="1"/>
    <xf numFmtId="0" fontId="3" fillId="0" borderId="73" xfId="1" applyBorder="1" applyAlignment="1">
      <alignment horizontal="right"/>
    </xf>
    <xf numFmtId="0" fontId="5" fillId="0" borderId="74" xfId="1" applyFont="1" applyBorder="1" applyAlignment="1">
      <alignment horizontal="center"/>
    </xf>
    <xf numFmtId="3" fontId="23" fillId="0" borderId="74" xfId="1" applyNumberFormat="1" applyFont="1" applyBorder="1" applyAlignment="1">
      <alignment horizontal="center"/>
    </xf>
    <xf numFmtId="2" fontId="23" fillId="0" borderId="76" xfId="1" applyNumberFormat="1" applyFont="1" applyBorder="1" applyAlignment="1">
      <alignment horizontal="center"/>
    </xf>
    <xf numFmtId="3" fontId="8" fillId="0" borderId="76" xfId="0" applyNumberFormat="1" applyFont="1" applyBorder="1" applyAlignment="1">
      <alignment horizontal="center"/>
    </xf>
    <xf numFmtId="3" fontId="12" fillId="0" borderId="0" xfId="0" applyNumberFormat="1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2" fillId="6" borderId="0" xfId="0" applyFont="1" applyFill="1" applyAlignment="1">
      <alignment horizontal="center"/>
    </xf>
    <xf numFmtId="0" fontId="12" fillId="6" borderId="0" xfId="0" applyFont="1" applyFill="1"/>
    <xf numFmtId="0" fontId="1" fillId="5" borderId="55" xfId="0" applyFont="1" applyFill="1" applyBorder="1" applyAlignment="1" applyProtection="1">
      <alignment horizontal="center"/>
      <protection locked="0"/>
    </xf>
    <xf numFmtId="0" fontId="53" fillId="4" borderId="0" xfId="0" applyFont="1" applyFill="1" applyAlignment="1">
      <alignment horizontal="left"/>
    </xf>
    <xf numFmtId="0" fontId="6" fillId="4" borderId="0" xfId="0" applyFont="1" applyFill="1" applyAlignment="1">
      <alignment horizontal="left" vertical="center"/>
    </xf>
    <xf numFmtId="0" fontId="54" fillId="4" borderId="94" xfId="0" applyFont="1" applyFill="1" applyBorder="1" applyAlignment="1">
      <alignment horizontal="right"/>
    </xf>
    <xf numFmtId="3" fontId="8" fillId="14" borderId="119" xfId="0" applyNumberFormat="1" applyFont="1" applyFill="1" applyBorder="1" applyAlignment="1">
      <alignment horizontal="center"/>
    </xf>
    <xf numFmtId="0" fontId="8" fillId="0" borderId="0" xfId="0" applyFont="1"/>
    <xf numFmtId="0" fontId="6" fillId="0" borderId="121" xfId="0" applyFont="1" applyBorder="1" applyAlignment="1">
      <alignment horizontal="right"/>
    </xf>
    <xf numFmtId="0" fontId="44" fillId="0" borderId="122" xfId="0" applyFont="1" applyBorder="1" applyAlignment="1">
      <alignment horizontal="left"/>
    </xf>
    <xf numFmtId="0" fontId="6" fillId="0" borderId="120" xfId="0" applyFont="1" applyBorder="1"/>
    <xf numFmtId="0" fontId="6" fillId="0" borderId="121" xfId="0" applyFont="1" applyBorder="1"/>
    <xf numFmtId="0" fontId="44" fillId="0" borderId="121" xfId="0" applyFont="1" applyBorder="1" applyAlignment="1">
      <alignment horizontal="right"/>
    </xf>
    <xf numFmtId="0" fontId="27" fillId="4" borderId="53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42" fillId="11" borderId="0" xfId="0" applyFont="1" applyFill="1"/>
    <xf numFmtId="0" fontId="43" fillId="11" borderId="0" xfId="0" applyFont="1" applyFill="1"/>
    <xf numFmtId="0" fontId="7" fillId="0" borderId="54" xfId="0" applyFont="1" applyBorder="1" applyAlignment="1">
      <alignment horizontal="center"/>
    </xf>
    <xf numFmtId="0" fontId="7" fillId="0" borderId="55" xfId="0" quotePrefix="1" applyFont="1" applyBorder="1"/>
    <xf numFmtId="0" fontId="7" fillId="0" borderId="24" xfId="0" applyFont="1" applyBorder="1"/>
    <xf numFmtId="0" fontId="25" fillId="0" borderId="0" xfId="0" applyFont="1"/>
    <xf numFmtId="3" fontId="10" fillId="4" borderId="53" xfId="0" applyNumberFormat="1" applyFont="1" applyFill="1" applyBorder="1" applyAlignment="1">
      <alignment horizontal="center"/>
    </xf>
    <xf numFmtId="3" fontId="25" fillId="0" borderId="53" xfId="0" applyNumberFormat="1" applyFont="1" applyBorder="1" applyAlignment="1">
      <alignment horizontal="center"/>
    </xf>
    <xf numFmtId="2" fontId="25" fillId="0" borderId="55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3" fillId="11" borderId="43" xfId="0" applyFont="1" applyFill="1" applyBorder="1" applyAlignment="1">
      <alignment horizontal="left"/>
    </xf>
    <xf numFmtId="0" fontId="43" fillId="11" borderId="46" xfId="0" applyFont="1" applyFill="1" applyBorder="1"/>
    <xf numFmtId="165" fontId="25" fillId="0" borderId="53" xfId="0" applyNumberFormat="1" applyFont="1" applyBorder="1" applyAlignment="1">
      <alignment horizontal="center"/>
    </xf>
    <xf numFmtId="0" fontId="45" fillId="0" borderId="0" xfId="0" applyFont="1"/>
    <xf numFmtId="165" fontId="25" fillId="0" borderId="55" xfId="0" applyNumberFormat="1" applyFont="1" applyBorder="1" applyAlignment="1">
      <alignment horizontal="center"/>
    </xf>
    <xf numFmtId="0" fontId="43" fillId="11" borderId="44" xfId="0" applyFont="1" applyFill="1" applyBorder="1" applyAlignment="1">
      <alignment horizontal="left"/>
    </xf>
    <xf numFmtId="0" fontId="8" fillId="11" borderId="0" xfId="0" applyFont="1" applyFill="1"/>
    <xf numFmtId="0" fontId="43" fillId="11" borderId="45" xfId="0" applyFont="1" applyFill="1" applyBorder="1" applyAlignment="1">
      <alignment horizontal="left"/>
    </xf>
    <xf numFmtId="0" fontId="43" fillId="11" borderId="2" xfId="0" applyFont="1" applyFill="1" applyBorder="1"/>
    <xf numFmtId="0" fontId="8" fillId="6" borderId="0" xfId="0" applyFont="1" applyFill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110" xfId="0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8" fillId="0" borderId="68" xfId="0" applyFont="1" applyBorder="1" applyAlignment="1">
      <alignment horizontal="center"/>
    </xf>
    <xf numFmtId="165" fontId="25" fillId="8" borderId="55" xfId="0" applyNumberFormat="1" applyFont="1" applyFill="1" applyBorder="1" applyAlignment="1">
      <alignment horizontal="center"/>
    </xf>
    <xf numFmtId="0" fontId="8" fillId="0" borderId="69" xfId="0" applyFont="1" applyBorder="1" applyAlignment="1">
      <alignment horizontal="center"/>
    </xf>
    <xf numFmtId="3" fontId="8" fillId="0" borderId="70" xfId="0" applyNumberFormat="1" applyFont="1" applyBorder="1" applyAlignment="1">
      <alignment horizontal="center"/>
    </xf>
    <xf numFmtId="2" fontId="8" fillId="0" borderId="70" xfId="0" applyNumberFormat="1" applyFont="1" applyBorder="1" applyAlignment="1">
      <alignment horizontal="center"/>
    </xf>
    <xf numFmtId="3" fontId="8" fillId="0" borderId="71" xfId="0" applyNumberFormat="1" applyFont="1" applyBorder="1" applyAlignment="1">
      <alignment horizontal="center"/>
    </xf>
    <xf numFmtId="0" fontId="7" fillId="5" borderId="0" xfId="0" applyFont="1" applyFill="1"/>
    <xf numFmtId="0" fontId="8" fillId="5" borderId="0" xfId="0" applyFont="1" applyFill="1"/>
    <xf numFmtId="0" fontId="26" fillId="0" borderId="0" xfId="0" applyFont="1" applyAlignment="1">
      <alignment horizontal="center"/>
    </xf>
    <xf numFmtId="0" fontId="7" fillId="4" borderId="66" xfId="0" applyFont="1" applyFill="1" applyBorder="1" applyAlignment="1">
      <alignment horizontal="center" vertical="center"/>
    </xf>
    <xf numFmtId="3" fontId="7" fillId="4" borderId="67" xfId="0" applyNumberFormat="1" applyFont="1" applyFill="1" applyBorder="1" applyAlignment="1">
      <alignment horizontal="center"/>
    </xf>
    <xf numFmtId="2" fontId="7" fillId="4" borderId="67" xfId="0" applyNumberFormat="1" applyFont="1" applyFill="1" applyBorder="1" applyAlignment="1">
      <alignment horizontal="center"/>
    </xf>
    <xf numFmtId="3" fontId="7" fillId="4" borderId="68" xfId="0" applyNumberFormat="1" applyFont="1" applyFill="1" applyBorder="1" applyAlignment="1">
      <alignment horizontal="right"/>
    </xf>
    <xf numFmtId="0" fontId="8" fillId="0" borderId="56" xfId="0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7" fillId="16" borderId="111" xfId="0" applyFont="1" applyFill="1" applyBorder="1" applyAlignment="1">
      <alignment horizontal="center"/>
    </xf>
    <xf numFmtId="0" fontId="27" fillId="16" borderId="53" xfId="0" applyFont="1" applyFill="1" applyBorder="1" applyAlignment="1">
      <alignment horizontal="center"/>
    </xf>
    <xf numFmtId="2" fontId="27" fillId="16" borderId="53" xfId="0" applyNumberFormat="1" applyFont="1" applyFill="1" applyBorder="1" applyAlignment="1">
      <alignment horizontal="center"/>
    </xf>
    <xf numFmtId="3" fontId="27" fillId="16" borderId="99" xfId="0" applyNumberFormat="1" applyFont="1" applyFill="1" applyBorder="1" applyAlignment="1">
      <alignment horizontal="right"/>
    </xf>
    <xf numFmtId="0" fontId="10" fillId="16" borderId="111" xfId="0" applyFont="1" applyFill="1" applyBorder="1" applyAlignment="1">
      <alignment horizontal="center"/>
    </xf>
    <xf numFmtId="3" fontId="27" fillId="16" borderId="53" xfId="0" applyNumberFormat="1" applyFont="1" applyFill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2" fontId="7" fillId="4" borderId="69" xfId="0" applyNumberFormat="1" applyFont="1" applyFill="1" applyBorder="1" applyAlignment="1">
      <alignment horizontal="center"/>
    </xf>
    <xf numFmtId="3" fontId="26" fillId="4" borderId="70" xfId="0" applyNumberFormat="1" applyFont="1" applyFill="1" applyBorder="1" applyAlignment="1">
      <alignment horizontal="center"/>
    </xf>
    <xf numFmtId="2" fontId="26" fillId="4" borderId="70" xfId="0" applyNumberFormat="1" applyFont="1" applyFill="1" applyBorder="1" applyAlignment="1">
      <alignment horizontal="center"/>
    </xf>
    <xf numFmtId="3" fontId="7" fillId="4" borderId="71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3" fontId="19" fillId="0" borderId="10" xfId="1" applyNumberFormat="1" applyFont="1" applyBorder="1" applyAlignment="1">
      <alignment horizontal="center"/>
    </xf>
    <xf numFmtId="2" fontId="17" fillId="0" borderId="10" xfId="1" applyNumberFormat="1" applyFont="1" applyBorder="1" applyAlignment="1">
      <alignment horizontal="center"/>
    </xf>
    <xf numFmtId="167" fontId="12" fillId="0" borderId="11" xfId="0" applyNumberFormat="1" applyFont="1" applyBorder="1" applyAlignment="1">
      <alignment horizontal="center"/>
    </xf>
    <xf numFmtId="0" fontId="25" fillId="0" borderId="53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3" fontId="27" fillId="0" borderId="53" xfId="0" applyNumberFormat="1" applyFont="1" applyBorder="1" applyAlignment="1">
      <alignment horizontal="center"/>
    </xf>
    <xf numFmtId="2" fontId="27" fillId="0" borderId="55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3" fontId="7" fillId="0" borderId="0" xfId="0" applyNumberFormat="1" applyFont="1" applyAlignment="1">
      <alignment horizontal="center" vertical="center"/>
    </xf>
    <xf numFmtId="0" fontId="7" fillId="0" borderId="49" xfId="0" applyFont="1" applyBorder="1" applyAlignment="1">
      <alignment horizontal="center"/>
    </xf>
    <xf numFmtId="165" fontId="8" fillId="0" borderId="0" xfId="0" applyNumberFormat="1" applyFont="1" applyAlignment="1">
      <alignment horizontal="center"/>
    </xf>
    <xf numFmtId="0" fontId="25" fillId="0" borderId="55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7" fillId="0" borderId="4" xfId="0" applyFont="1" applyBorder="1" applyAlignment="1">
      <alignment horizontal="center"/>
    </xf>
    <xf numFmtId="166" fontId="8" fillId="0" borderId="0" xfId="0" applyNumberFormat="1" applyFont="1"/>
    <xf numFmtId="0" fontId="7" fillId="4" borderId="0" xfId="0" applyFont="1" applyFill="1" applyAlignment="1">
      <alignment horizontal="center"/>
    </xf>
    <xf numFmtId="165" fontId="8" fillId="5" borderId="49" xfId="0" applyNumberFormat="1" applyFont="1" applyFill="1" applyBorder="1" applyAlignment="1">
      <alignment horizontal="center"/>
    </xf>
    <xf numFmtId="0" fontId="8" fillId="13" borderId="0" xfId="0" applyFont="1" applyFill="1"/>
    <xf numFmtId="165" fontId="25" fillId="0" borderId="3" xfId="0" applyNumberFormat="1" applyFont="1" applyBorder="1" applyAlignment="1">
      <alignment horizontal="center"/>
    </xf>
    <xf numFmtId="0" fontId="0" fillId="13" borderId="0" xfId="0" applyFill="1"/>
    <xf numFmtId="0" fontId="25" fillId="0" borderId="22" xfId="0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165" fontId="12" fillId="4" borderId="1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3" fontId="17" fillId="0" borderId="7" xfId="1" applyNumberFormat="1" applyFont="1" applyBorder="1" applyAlignment="1">
      <alignment horizontal="center"/>
    </xf>
    <xf numFmtId="2" fontId="18" fillId="0" borderId="7" xfId="1" applyNumberFormat="1" applyFont="1" applyBorder="1" applyAlignment="1">
      <alignment horizontal="center"/>
    </xf>
    <xf numFmtId="167" fontId="12" fillId="0" borderId="8" xfId="0" applyNumberFormat="1" applyFont="1" applyBorder="1" applyAlignment="1">
      <alignment horizontal="center"/>
    </xf>
    <xf numFmtId="3" fontId="18" fillId="0" borderId="10" xfId="1" applyNumberFormat="1" applyFont="1" applyBorder="1" applyAlignment="1">
      <alignment horizontal="center"/>
    </xf>
    <xf numFmtId="2" fontId="18" fillId="0" borderId="10" xfId="1" applyNumberFormat="1" applyFont="1" applyBorder="1" applyAlignment="1">
      <alignment horizontal="center"/>
    </xf>
    <xf numFmtId="0" fontId="18" fillId="0" borderId="28" xfId="1" applyFont="1" applyBorder="1" applyAlignment="1">
      <alignment horizontal="right"/>
    </xf>
    <xf numFmtId="0" fontId="19" fillId="0" borderId="28" xfId="1" applyFont="1" applyBorder="1" applyAlignment="1">
      <alignment horizontal="center"/>
    </xf>
    <xf numFmtId="3" fontId="18" fillId="0" borderId="28" xfId="1" applyNumberFormat="1" applyFont="1" applyBorder="1" applyAlignment="1">
      <alignment horizontal="center"/>
    </xf>
    <xf numFmtId="2" fontId="18" fillId="0" borderId="28" xfId="1" applyNumberFormat="1" applyFont="1" applyBorder="1" applyAlignment="1">
      <alignment horizontal="center"/>
    </xf>
    <xf numFmtId="165" fontId="12" fillId="0" borderId="33" xfId="0" applyNumberFormat="1" applyFont="1" applyBorder="1" applyAlignment="1">
      <alignment horizontal="center"/>
    </xf>
    <xf numFmtId="165" fontId="12" fillId="0" borderId="34" xfId="0" applyNumberFormat="1" applyFont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165" fontId="12" fillId="0" borderId="35" xfId="0" applyNumberFormat="1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3" fontId="17" fillId="0" borderId="10" xfId="1" applyNumberFormat="1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2" fontId="12" fillId="0" borderId="39" xfId="0" applyNumberFormat="1" applyFont="1" applyBorder="1" applyAlignment="1">
      <alignment horizontal="center"/>
    </xf>
    <xf numFmtId="3" fontId="12" fillId="0" borderId="38" xfId="0" applyNumberFormat="1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2" fontId="12" fillId="0" borderId="15" xfId="0" applyNumberFormat="1" applyFont="1" applyBorder="1" applyAlignment="1">
      <alignment horizontal="center"/>
    </xf>
    <xf numFmtId="3" fontId="12" fillId="0" borderId="30" xfId="0" applyNumberFormat="1" applyFont="1" applyBorder="1" applyAlignment="1">
      <alignment horizontal="center"/>
    </xf>
    <xf numFmtId="0" fontId="14" fillId="4" borderId="0" xfId="0" applyFont="1" applyFill="1"/>
    <xf numFmtId="0" fontId="12" fillId="0" borderId="42" xfId="0" applyFont="1" applyBorder="1" applyAlignment="1">
      <alignment horizontal="center"/>
    </xf>
    <xf numFmtId="2" fontId="12" fillId="0" borderId="42" xfId="0" applyNumberFormat="1" applyFont="1" applyBorder="1" applyAlignment="1">
      <alignment horizontal="center"/>
    </xf>
    <xf numFmtId="3" fontId="12" fillId="0" borderId="32" xfId="0" applyNumberFormat="1" applyFont="1" applyBorder="1" applyAlignment="1">
      <alignment horizontal="center"/>
    </xf>
    <xf numFmtId="0" fontId="13" fillId="0" borderId="0" xfId="0" applyFont="1"/>
    <xf numFmtId="3" fontId="12" fillId="0" borderId="0" xfId="0" applyNumberFormat="1" applyFont="1" applyAlignment="1">
      <alignment horizontal="center"/>
    </xf>
    <xf numFmtId="165" fontId="12" fillId="0" borderId="0" xfId="0" applyNumberFormat="1" applyFont="1" applyAlignment="1">
      <alignment horizontal="center"/>
    </xf>
    <xf numFmtId="3" fontId="12" fillId="6" borderId="0" xfId="0" applyNumberFormat="1" applyFont="1" applyFill="1" applyAlignment="1">
      <alignment horizontal="center"/>
    </xf>
    <xf numFmtId="3" fontId="12" fillId="6" borderId="0" xfId="0" applyNumberFormat="1" applyFont="1" applyFill="1"/>
    <xf numFmtId="165" fontId="12" fillId="6" borderId="0" xfId="0" applyNumberFormat="1" applyFont="1" applyFill="1" applyAlignment="1">
      <alignment horizontal="center"/>
    </xf>
    <xf numFmtId="165" fontId="12" fillId="0" borderId="21" xfId="0" applyNumberFormat="1" applyFont="1" applyBorder="1"/>
    <xf numFmtId="3" fontId="21" fillId="0" borderId="10" xfId="1" applyNumberFormat="1" applyFont="1" applyBorder="1" applyAlignment="1">
      <alignment horizontal="center"/>
    </xf>
    <xf numFmtId="2" fontId="21" fillId="0" borderId="10" xfId="1" applyNumberFormat="1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3" fontId="19" fillId="0" borderId="13" xfId="1" applyNumberFormat="1" applyFont="1" applyBorder="1" applyAlignment="1">
      <alignment horizontal="center"/>
    </xf>
    <xf numFmtId="2" fontId="17" fillId="0" borderId="13" xfId="1" applyNumberFormat="1" applyFont="1" applyBorder="1" applyAlignment="1">
      <alignment horizontal="center"/>
    </xf>
    <xf numFmtId="167" fontId="12" fillId="0" borderId="14" xfId="0" applyNumberFormat="1" applyFont="1" applyBorder="1" applyAlignment="1">
      <alignment horizontal="center"/>
    </xf>
    <xf numFmtId="0" fontId="44" fillId="0" borderId="123" xfId="0" applyFont="1" applyBorder="1"/>
    <xf numFmtId="0" fontId="12" fillId="0" borderId="123" xfId="0" applyFont="1" applyBorder="1"/>
    <xf numFmtId="0" fontId="55" fillId="0" borderId="0" xfId="0" applyFont="1"/>
    <xf numFmtId="0" fontId="0" fillId="0" borderId="0" xfId="0" applyAlignment="1">
      <alignment wrapText="1"/>
    </xf>
    <xf numFmtId="0" fontId="10" fillId="9" borderId="80" xfId="0" applyFont="1" applyFill="1" applyBorder="1" applyAlignment="1">
      <alignment horizontal="left" vertical="center"/>
    </xf>
    <xf numFmtId="0" fontId="9" fillId="9" borderId="28" xfId="0" applyFont="1" applyFill="1" applyBorder="1" applyAlignment="1">
      <alignment horizontal="center" vertical="center"/>
    </xf>
    <xf numFmtId="0" fontId="1" fillId="9" borderId="28" xfId="0" applyFont="1" applyFill="1" applyBorder="1"/>
    <xf numFmtId="0" fontId="1" fillId="9" borderId="28" xfId="0" applyFont="1" applyFill="1" applyBorder="1" applyAlignment="1">
      <alignment horizontal="center" vertical="center"/>
    </xf>
    <xf numFmtId="0" fontId="12" fillId="9" borderId="81" xfId="0" applyFont="1" applyFill="1" applyBorder="1"/>
    <xf numFmtId="165" fontId="0" fillId="0" borderId="0" xfId="0" applyNumberFormat="1" applyAlignment="1">
      <alignment horizontal="center"/>
    </xf>
    <xf numFmtId="165" fontId="25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/>
    </xf>
    <xf numFmtId="165" fontId="12" fillId="0" borderId="126" xfId="0" applyNumberFormat="1" applyFont="1" applyBorder="1" applyAlignment="1">
      <alignment horizontal="center"/>
    </xf>
    <xf numFmtId="165" fontId="12" fillId="0" borderId="127" xfId="0" applyNumberFormat="1" applyFont="1" applyBorder="1" applyAlignment="1">
      <alignment horizontal="center"/>
    </xf>
    <xf numFmtId="165" fontId="12" fillId="0" borderId="128" xfId="0" applyNumberFormat="1" applyFont="1" applyBorder="1" applyAlignment="1">
      <alignment horizontal="center"/>
    </xf>
    <xf numFmtId="0" fontId="57" fillId="7" borderId="71" xfId="0" applyFont="1" applyFill="1" applyBorder="1" applyAlignment="1">
      <alignment horizontal="center"/>
    </xf>
    <xf numFmtId="0" fontId="58" fillId="7" borderId="45" xfId="0" applyFont="1" applyFill="1" applyBorder="1" applyAlignment="1">
      <alignment horizontal="center"/>
    </xf>
    <xf numFmtId="0" fontId="8" fillId="4" borderId="79" xfId="0" applyFont="1" applyFill="1" applyBorder="1" applyAlignment="1">
      <alignment horizontal="center"/>
    </xf>
    <xf numFmtId="3" fontId="25" fillId="17" borderId="53" xfId="0" applyNumberFormat="1" applyFont="1" applyFill="1" applyBorder="1" applyAlignment="1">
      <alignment horizontal="center"/>
    </xf>
    <xf numFmtId="165" fontId="25" fillId="17" borderId="55" xfId="0" applyNumberFormat="1" applyFont="1" applyFill="1" applyBorder="1" applyAlignment="1">
      <alignment horizontal="center"/>
    </xf>
    <xf numFmtId="3" fontId="8" fillId="17" borderId="1" xfId="0" applyNumberFormat="1" applyFont="1" applyFill="1" applyBorder="1" applyAlignment="1">
      <alignment horizontal="center"/>
    </xf>
    <xf numFmtId="0" fontId="8" fillId="17" borderId="1" xfId="0" applyFont="1" applyFill="1" applyBorder="1" applyAlignment="1">
      <alignment horizontal="center" vertical="center"/>
    </xf>
    <xf numFmtId="3" fontId="2" fillId="9" borderId="90" xfId="0" applyNumberFormat="1" applyFont="1" applyFill="1" applyBorder="1" applyAlignment="1" applyProtection="1">
      <alignment horizontal="center"/>
      <protection locked="0"/>
    </xf>
    <xf numFmtId="0" fontId="2" fillId="9" borderId="93" xfId="0" applyFont="1" applyFill="1" applyBorder="1" applyAlignment="1" applyProtection="1">
      <alignment horizontal="center"/>
      <protection locked="0"/>
    </xf>
    <xf numFmtId="0" fontId="1" fillId="9" borderId="53" xfId="0" applyFont="1" applyFill="1" applyBorder="1" applyAlignment="1">
      <alignment horizontal="center"/>
    </xf>
    <xf numFmtId="0" fontId="26" fillId="0" borderId="84" xfId="0" applyFont="1" applyBorder="1" applyAlignment="1">
      <alignment horizontal="center"/>
    </xf>
    <xf numFmtId="3" fontId="8" fillId="0" borderId="130" xfId="0" applyNumberFormat="1" applyFont="1" applyBorder="1" applyAlignment="1">
      <alignment horizontal="center"/>
    </xf>
    <xf numFmtId="3" fontId="8" fillId="0" borderId="131" xfId="0" applyNumberFormat="1" applyFont="1" applyBorder="1" applyAlignment="1">
      <alignment horizontal="center"/>
    </xf>
    <xf numFmtId="0" fontId="24" fillId="0" borderId="80" xfId="0" applyFont="1" applyBorder="1" applyAlignment="1">
      <alignment horizontal="right"/>
    </xf>
    <xf numFmtId="0" fontId="24" fillId="0" borderId="28" xfId="0" applyFont="1" applyBorder="1" applyAlignment="1">
      <alignment horizontal="center"/>
    </xf>
    <xf numFmtId="0" fontId="60" fillId="11" borderId="81" xfId="0" applyFont="1" applyFill="1" applyBorder="1" applyAlignment="1">
      <alignment horizontal="center"/>
    </xf>
    <xf numFmtId="0" fontId="24" fillId="0" borderId="132" xfId="0" applyFont="1" applyBorder="1" applyAlignment="1">
      <alignment horizontal="right"/>
    </xf>
    <xf numFmtId="0" fontId="54" fillId="0" borderId="133" xfId="0" applyFont="1" applyBorder="1" applyAlignment="1">
      <alignment horizontal="center"/>
    </xf>
    <xf numFmtId="165" fontId="61" fillId="11" borderId="134" xfId="0" applyNumberFormat="1" applyFont="1" applyFill="1" applyBorder="1" applyAlignment="1">
      <alignment horizontal="center"/>
    </xf>
    <xf numFmtId="0" fontId="54" fillId="0" borderId="135" xfId="0" applyFont="1" applyBorder="1" applyAlignment="1">
      <alignment horizontal="center"/>
    </xf>
    <xf numFmtId="165" fontId="61" fillId="11" borderId="136" xfId="0" applyNumberFormat="1" applyFont="1" applyFill="1" applyBorder="1" applyAlignment="1">
      <alignment horizontal="center"/>
    </xf>
    <xf numFmtId="0" fontId="54" fillId="0" borderId="137" xfId="0" applyFont="1" applyBorder="1" applyAlignment="1">
      <alignment horizontal="center"/>
    </xf>
    <xf numFmtId="165" fontId="61" fillId="11" borderId="138" xfId="0" applyNumberFormat="1" applyFont="1" applyFill="1" applyBorder="1" applyAlignment="1">
      <alignment horizontal="center"/>
    </xf>
    <xf numFmtId="0" fontId="24" fillId="0" borderId="139" xfId="0" applyFont="1" applyBorder="1" applyAlignment="1">
      <alignment horizontal="right"/>
    </xf>
    <xf numFmtId="0" fontId="54" fillId="0" borderId="140" xfId="0" applyFont="1" applyBorder="1" applyAlignment="1">
      <alignment horizontal="center"/>
    </xf>
    <xf numFmtId="165" fontId="61" fillId="11" borderId="131" xfId="0" applyNumberFormat="1" applyFont="1" applyFill="1" applyBorder="1" applyAlignment="1">
      <alignment horizontal="center"/>
    </xf>
    <xf numFmtId="0" fontId="7" fillId="5" borderId="120" xfId="0" applyFont="1" applyFill="1" applyBorder="1" applyAlignment="1">
      <alignment horizontal="center"/>
    </xf>
    <xf numFmtId="0" fontId="0" fillId="0" borderId="121" xfId="0" applyBorder="1"/>
    <xf numFmtId="0" fontId="0" fillId="0" borderId="122" xfId="0" applyBorder="1"/>
    <xf numFmtId="0" fontId="8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56" fillId="4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51" xfId="0" applyBorder="1" applyAlignment="1">
      <alignment wrapText="1"/>
    </xf>
    <xf numFmtId="0" fontId="9" fillId="14" borderId="72" xfId="0" applyFont="1" applyFill="1" applyBorder="1" applyAlignment="1">
      <alignment horizontal="left" wrapText="1"/>
    </xf>
    <xf numFmtId="0" fontId="0" fillId="14" borderId="0" xfId="0" applyFill="1" applyAlignment="1">
      <alignment horizontal="left" wrapText="1"/>
    </xf>
    <xf numFmtId="0" fontId="0" fillId="14" borderId="51" xfId="0" applyFill="1" applyBorder="1" applyAlignment="1">
      <alignment horizontal="left" wrapText="1"/>
    </xf>
    <xf numFmtId="0" fontId="0" fillId="14" borderId="72" xfId="0" applyFill="1" applyBorder="1" applyAlignment="1">
      <alignment horizontal="left" wrapText="1"/>
    </xf>
    <xf numFmtId="0" fontId="0" fillId="14" borderId="82" xfId="0" applyFill="1" applyBorder="1" applyAlignment="1">
      <alignment horizontal="left" wrapText="1"/>
    </xf>
    <xf numFmtId="0" fontId="0" fillId="14" borderId="83" xfId="0" applyFill="1" applyBorder="1" applyAlignment="1">
      <alignment horizontal="left" wrapText="1"/>
    </xf>
    <xf numFmtId="0" fontId="0" fillId="14" borderId="84" xfId="0" applyFill="1" applyBorder="1" applyAlignment="1">
      <alignment horizontal="left" wrapText="1"/>
    </xf>
    <xf numFmtId="0" fontId="37" fillId="15" borderId="103" xfId="0" applyFont="1" applyFill="1" applyBorder="1" applyAlignment="1">
      <alignment horizontal="center" vertical="center"/>
    </xf>
    <xf numFmtId="0" fontId="37" fillId="15" borderId="129" xfId="0" applyFont="1" applyFill="1" applyBorder="1" applyAlignment="1">
      <alignment horizontal="center" vertical="center"/>
    </xf>
    <xf numFmtId="0" fontId="33" fillId="4" borderId="98" xfId="0" applyFont="1" applyFill="1" applyBorder="1" applyAlignment="1">
      <alignment horizontal="center" vertical="center" wrapText="1"/>
    </xf>
    <xf numFmtId="0" fontId="9" fillId="4" borderId="100" xfId="0" applyFont="1" applyFill="1" applyBorder="1" applyAlignment="1">
      <alignment wrapText="1"/>
    </xf>
    <xf numFmtId="0" fontId="34" fillId="4" borderId="98" xfId="0" applyFont="1" applyFill="1" applyBorder="1" applyAlignment="1">
      <alignment horizontal="center" vertical="center" wrapText="1"/>
    </xf>
    <xf numFmtId="0" fontId="10" fillId="4" borderId="100" xfId="0" applyFont="1" applyFill="1" applyBorder="1" applyAlignment="1">
      <alignment wrapText="1"/>
    </xf>
    <xf numFmtId="0" fontId="2" fillId="8" borderId="80" xfId="0" applyFont="1" applyFill="1" applyBorder="1" applyAlignment="1">
      <alignment horizontal="center" wrapText="1"/>
    </xf>
    <xf numFmtId="0" fontId="10" fillId="8" borderId="28" xfId="0" applyFont="1" applyFill="1" applyBorder="1" applyAlignment="1">
      <alignment horizontal="center" wrapText="1"/>
    </xf>
    <xf numFmtId="0" fontId="9" fillId="0" borderId="28" xfId="0" applyFont="1" applyBorder="1"/>
    <xf numFmtId="0" fontId="9" fillId="0" borderId="81" xfId="0" applyFont="1" applyBorder="1"/>
    <xf numFmtId="0" fontId="10" fillId="8" borderId="72" xfId="0" applyFont="1" applyFill="1" applyBorder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9" fillId="0" borderId="0" xfId="0" applyFont="1"/>
    <xf numFmtId="0" fontId="9" fillId="0" borderId="51" xfId="0" applyFont="1" applyBorder="1"/>
    <xf numFmtId="0" fontId="7" fillId="5" borderId="82" xfId="0" applyFont="1" applyFill="1" applyBorder="1" applyAlignment="1">
      <alignment horizontal="center"/>
    </xf>
    <xf numFmtId="0" fontId="27" fillId="5" borderId="83" xfId="0" applyFont="1" applyFill="1" applyBorder="1" applyAlignment="1">
      <alignment horizontal="center"/>
    </xf>
    <xf numFmtId="0" fontId="25" fillId="0" borderId="83" xfId="0" applyFont="1" applyBorder="1"/>
    <xf numFmtId="0" fontId="25" fillId="0" borderId="84" xfId="0" applyFont="1" applyBorder="1"/>
    <xf numFmtId="0" fontId="51" fillId="0" borderId="83" xfId="0" applyFont="1" applyBorder="1" applyAlignment="1">
      <alignment horizontal="center"/>
    </xf>
    <xf numFmtId="0" fontId="51" fillId="0" borderId="84" xfId="0" applyFont="1" applyBorder="1" applyAlignment="1">
      <alignment horizontal="center"/>
    </xf>
    <xf numFmtId="0" fontId="40" fillId="0" borderId="105" xfId="0" applyFont="1" applyBorder="1" applyAlignment="1">
      <alignment horizontal="center" vertical="center"/>
    </xf>
    <xf numFmtId="0" fontId="41" fillId="0" borderId="5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" fillId="14" borderId="80" xfId="0" applyFont="1" applyFill="1" applyBorder="1" applyAlignment="1">
      <alignment horizontal="center"/>
    </xf>
    <xf numFmtId="0" fontId="0" fillId="14" borderId="81" xfId="0" applyFill="1" applyBorder="1"/>
    <xf numFmtId="168" fontId="2" fillId="14" borderId="125" xfId="0" applyNumberFormat="1" applyFont="1" applyFill="1" applyBorder="1" applyAlignment="1">
      <alignment horizontal="center"/>
    </xf>
    <xf numFmtId="0" fontId="0" fillId="14" borderId="87" xfId="0" applyFill="1" applyBorder="1"/>
    <xf numFmtId="0" fontId="26" fillId="0" borderId="95" xfId="0" applyFont="1" applyBorder="1" applyAlignment="1">
      <alignment horizontal="left"/>
    </xf>
    <xf numFmtId="0" fontId="31" fillId="0" borderId="96" xfId="0" applyFont="1" applyBorder="1" applyAlignment="1">
      <alignment horizontal="left"/>
    </xf>
    <xf numFmtId="0" fontId="1" fillId="4" borderId="98" xfId="0" applyFont="1" applyFill="1" applyBorder="1" applyAlignment="1">
      <alignment horizontal="center" wrapText="1"/>
    </xf>
    <xf numFmtId="0" fontId="9" fillId="4" borderId="100" xfId="0" applyFont="1" applyFill="1" applyBorder="1" applyAlignment="1">
      <alignment horizontal="center" wrapText="1"/>
    </xf>
    <xf numFmtId="0" fontId="38" fillId="7" borderId="102" xfId="0" applyFont="1" applyFill="1" applyBorder="1" applyAlignment="1">
      <alignment vertical="center"/>
    </xf>
    <xf numFmtId="0" fontId="39" fillId="7" borderId="104" xfId="0" applyFont="1" applyFill="1" applyBorder="1" applyAlignment="1">
      <alignment vertical="center"/>
    </xf>
    <xf numFmtId="0" fontId="15" fillId="0" borderId="40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/>
    <xf numFmtId="0" fontId="13" fillId="0" borderId="3" xfId="0" applyFont="1" applyBorder="1" applyAlignment="1">
      <alignment horizontal="center" vertical="center" textRotation="180"/>
    </xf>
    <xf numFmtId="0" fontId="16" fillId="0" borderId="21" xfId="0" applyFont="1" applyBorder="1" applyAlignment="1">
      <alignment horizontal="center" vertical="center" textRotation="180"/>
    </xf>
    <xf numFmtId="3" fontId="7" fillId="0" borderId="18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6" fillId="0" borderId="124" xfId="0" applyFont="1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45" fillId="17" borderId="114" xfId="0" applyFont="1" applyFill="1" applyBorder="1" applyAlignment="1">
      <alignment horizontal="center" wrapText="1"/>
    </xf>
    <xf numFmtId="0" fontId="46" fillId="17" borderId="115" xfId="0" applyFont="1" applyFill="1" applyBorder="1" applyAlignment="1">
      <alignment horizontal="center" wrapText="1"/>
    </xf>
    <xf numFmtId="0" fontId="46" fillId="17" borderId="5" xfId="0" applyFont="1" applyFill="1" applyBorder="1" applyAlignment="1">
      <alignment horizontal="center" wrapText="1"/>
    </xf>
    <xf numFmtId="0" fontId="46" fillId="17" borderId="116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17" xfId="0" applyFont="1" applyBorder="1" applyAlignment="1">
      <alignment horizontal="center"/>
    </xf>
    <xf numFmtId="3" fontId="25" fillId="0" borderId="19" xfId="0" applyNumberFormat="1" applyFont="1" applyBorder="1" applyAlignment="1">
      <alignment horizontal="center"/>
    </xf>
  </cellXfs>
  <cellStyles count="2">
    <cellStyle name="Normal" xfId="0" builtinId="0"/>
    <cellStyle name="Normal_N89RZ Wt_Bal" xfId="1" xr:uid="{00000000-0005-0000-0000-000002000000}"/>
  </cellStyles>
  <dxfs count="0"/>
  <tableStyles count="0" defaultTableStyle="TableStyleMedium9" defaultPivotStyle="PivotStyleLight16"/>
  <colors>
    <mruColors>
      <color rgb="FFFF6699"/>
      <color rgb="FF00FF00"/>
      <color rgb="FF00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C.G. Straight Line 11,279# to 12,500# GTOW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Series 1</c:v>
          </c:tx>
          <c:marker>
            <c:symbol val="none"/>
          </c:marker>
          <c:xVal>
            <c:numRef>
              <c:f>'Ref Data'!$I$62:$I$88</c:f>
              <c:numCache>
                <c:formatCode>#,##0</c:formatCode>
                <c:ptCount val="27"/>
                <c:pt idx="0">
                  <c:v>11250</c:v>
                </c:pt>
                <c:pt idx="1">
                  <c:v>11279</c:v>
                </c:pt>
                <c:pt idx="2">
                  <c:v>11300</c:v>
                </c:pt>
                <c:pt idx="3">
                  <c:v>11350</c:v>
                </c:pt>
                <c:pt idx="4">
                  <c:v>11400</c:v>
                </c:pt>
                <c:pt idx="5">
                  <c:v>11450</c:v>
                </c:pt>
                <c:pt idx="6">
                  <c:v>11500</c:v>
                </c:pt>
                <c:pt idx="7">
                  <c:v>11550</c:v>
                </c:pt>
                <c:pt idx="8">
                  <c:v>11600</c:v>
                </c:pt>
                <c:pt idx="9">
                  <c:v>11650</c:v>
                </c:pt>
                <c:pt idx="10">
                  <c:v>11700</c:v>
                </c:pt>
                <c:pt idx="11">
                  <c:v>11750</c:v>
                </c:pt>
                <c:pt idx="12">
                  <c:v>11800</c:v>
                </c:pt>
                <c:pt idx="13">
                  <c:v>11850</c:v>
                </c:pt>
                <c:pt idx="14">
                  <c:v>11900</c:v>
                </c:pt>
                <c:pt idx="15">
                  <c:v>11950</c:v>
                </c:pt>
                <c:pt idx="16">
                  <c:v>12000</c:v>
                </c:pt>
                <c:pt idx="17">
                  <c:v>12050</c:v>
                </c:pt>
                <c:pt idx="18">
                  <c:v>12100</c:v>
                </c:pt>
                <c:pt idx="19">
                  <c:v>12150</c:v>
                </c:pt>
                <c:pt idx="20">
                  <c:v>12200</c:v>
                </c:pt>
                <c:pt idx="21">
                  <c:v>12250</c:v>
                </c:pt>
                <c:pt idx="22">
                  <c:v>12300</c:v>
                </c:pt>
                <c:pt idx="23">
                  <c:v>12350</c:v>
                </c:pt>
                <c:pt idx="24">
                  <c:v>12400</c:v>
                </c:pt>
                <c:pt idx="25">
                  <c:v>12450</c:v>
                </c:pt>
                <c:pt idx="26">
                  <c:v>12501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7-388F-4840-86F8-8B1D576D73C4}"/>
            </c:ext>
          </c:extLst>
        </c:ser>
        <c:ser>
          <c:idx val="0"/>
          <c:order val="1"/>
          <c:tx>
            <c:v>Series 2</c:v>
          </c:tx>
          <c:marker>
            <c:symbol val="none"/>
          </c:marker>
          <c:xVal>
            <c:numRef>
              <c:f>'Ref Data'!$K$62:$K$88</c:f>
              <c:numCache>
                <c:formatCode>0.0</c:formatCode>
                <c:ptCount val="27"/>
                <c:pt idx="0">
                  <c:v>181</c:v>
                </c:pt>
                <c:pt idx="1">
                  <c:v>181</c:v>
                </c:pt>
                <c:pt idx="2">
                  <c:v>181.07079646017698</c:v>
                </c:pt>
                <c:pt idx="3">
                  <c:v>181.23348017621146</c:v>
                </c:pt>
                <c:pt idx="4">
                  <c:v>181.39473684210526</c:v>
                </c:pt>
                <c:pt idx="5">
                  <c:v>181.56331877729258</c:v>
                </c:pt>
                <c:pt idx="6">
                  <c:v>181.72173913043477</c:v>
                </c:pt>
                <c:pt idx="7">
                  <c:v>181.88744588744589</c:v>
                </c:pt>
                <c:pt idx="8">
                  <c:v>182.05172413793105</c:v>
                </c:pt>
                <c:pt idx="9">
                  <c:v>182.21459227467813</c:v>
                </c:pt>
                <c:pt idx="10">
                  <c:v>182.37606837606839</c:v>
                </c:pt>
                <c:pt idx="11">
                  <c:v>182.54468085106382</c:v>
                </c:pt>
                <c:pt idx="12">
                  <c:v>182.70338983050848</c:v>
                </c:pt>
                <c:pt idx="13">
                  <c:v>182.86919831223628</c:v>
                </c:pt>
                <c:pt idx="14">
                  <c:v>183.03361344537817</c:v>
                </c:pt>
                <c:pt idx="15">
                  <c:v>183.19665271966528</c:v>
                </c:pt>
                <c:pt idx="16">
                  <c:v>183.35833333333332</c:v>
                </c:pt>
                <c:pt idx="17">
                  <c:v>183.52697095435684</c:v>
                </c:pt>
                <c:pt idx="18">
                  <c:v>183.68595041322314</c:v>
                </c:pt>
                <c:pt idx="19">
                  <c:v>183.85185185185185</c:v>
                </c:pt>
                <c:pt idx="20">
                  <c:v>184.01639344262296</c:v>
                </c:pt>
                <c:pt idx="21">
                  <c:v>184.17959183673469</c:v>
                </c:pt>
                <c:pt idx="22">
                  <c:v>184.34146341463415</c:v>
                </c:pt>
                <c:pt idx="23">
                  <c:v>184.51012145748987</c:v>
                </c:pt>
                <c:pt idx="24">
                  <c:v>184.66935483870967</c:v>
                </c:pt>
                <c:pt idx="25">
                  <c:v>184.83534136546186</c:v>
                </c:pt>
                <c:pt idx="26">
                  <c:v>184.98520118390528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8-388F-4840-86F8-8B1D576D7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874184"/>
        <c:axId val="932869592"/>
      </c:scatterChart>
      <c:valAx>
        <c:axId val="932874184"/>
        <c:scaling>
          <c:orientation val="minMax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crossAx val="932869592"/>
        <c:crosses val="autoZero"/>
        <c:crossBetween val="midCat"/>
      </c:valAx>
      <c:valAx>
        <c:axId val="9328695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32874184"/>
        <c:crosses val="autoZero"/>
        <c:crossBetween val="midCat"/>
      </c:valAx>
    </c:plotArea>
    <c:legend>
      <c:legendPos val="b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99</xdr:row>
      <xdr:rowOff>0</xdr:rowOff>
    </xdr:from>
    <xdr:to>
      <xdr:col>17</xdr:col>
      <xdr:colOff>415925</xdr:colOff>
      <xdr:row>115</xdr:row>
      <xdr:rowOff>142875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97817E5-84A0-4678-ABE2-E3D9B29F7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38100</xdr:colOff>
      <xdr:row>0</xdr:row>
      <xdr:rowOff>57150</xdr:rowOff>
    </xdr:from>
    <xdr:to>
      <xdr:col>16</xdr:col>
      <xdr:colOff>637699</xdr:colOff>
      <xdr:row>29</xdr:row>
      <xdr:rowOff>75595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7C2796-C293-87F0-74D8-EC43AB488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76850" y="57150"/>
          <a:ext cx="3809524" cy="4838095"/>
        </a:xfrm>
        <a:prstGeom prst="rect">
          <a:avLst/>
        </a:prstGeom>
      </xdr:spPr>
    </xdr:pic>
    <xdr:clientData/>
  </xdr:twoCellAnchor>
  <xdr:twoCellAnchor>
    <xdr:from>
      <xdr:col>8</xdr:col>
      <xdr:colOff>984078</xdr:colOff>
      <xdr:row>24</xdr:row>
      <xdr:rowOff>130581</xdr:rowOff>
    </xdr:from>
    <xdr:to>
      <xdr:col>13</xdr:col>
      <xdr:colOff>79102</xdr:colOff>
      <xdr:row>26</xdr:row>
      <xdr:rowOff>127694</xdr:rowOff>
    </xdr:to>
    <xdr:sp macro="" textlink="">
      <xdr:nvSpPr>
        <xdr:cNvPr id="21" name="Arrow: Left-Right 20">
          <a:extLst>
            <a:ext uri="{FF2B5EF4-FFF2-40B4-BE49-F238E27FC236}">
              <a16:creationId xmlns:a16="http://schemas.microsoft.com/office/drawing/2014/main" id="{22A4277F-39B8-7BDE-067B-D8642DB42ACA}"/>
            </a:ext>
          </a:extLst>
        </xdr:cNvPr>
        <xdr:cNvSpPr/>
      </xdr:nvSpPr>
      <xdr:spPr>
        <a:xfrm rot="19159288">
          <a:off x="4832178" y="4254906"/>
          <a:ext cx="1762024" cy="263813"/>
        </a:xfrm>
        <a:prstGeom prst="left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14</xdr:col>
      <xdr:colOff>571499</xdr:colOff>
      <xdr:row>0</xdr:row>
      <xdr:rowOff>57150</xdr:rowOff>
    </xdr:from>
    <xdr:to>
      <xdr:col>17</xdr:col>
      <xdr:colOff>113803</xdr:colOff>
      <xdr:row>29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EFF8F9-506F-6DBF-E73B-1D6E99906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96374" y="57150"/>
          <a:ext cx="1533029" cy="4924425"/>
        </a:xfrm>
        <a:prstGeom prst="rect">
          <a:avLst/>
        </a:prstGeom>
      </xdr:spPr>
    </xdr:pic>
    <xdr:clientData/>
  </xdr:twoCellAnchor>
  <xdr:twoCellAnchor editAs="oneCell">
    <xdr:from>
      <xdr:col>13</xdr:col>
      <xdr:colOff>171450</xdr:colOff>
      <xdr:row>18</xdr:row>
      <xdr:rowOff>169879</xdr:rowOff>
    </xdr:from>
    <xdr:to>
      <xdr:col>13</xdr:col>
      <xdr:colOff>546026</xdr:colOff>
      <xdr:row>21</xdr:row>
      <xdr:rowOff>19050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FC79D79-15A1-4C18-CA69-B60AD76F5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86725" y="3227404"/>
          <a:ext cx="374576" cy="353996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18</xdr:row>
      <xdr:rowOff>152400</xdr:rowOff>
    </xdr:from>
    <xdr:to>
      <xdr:col>14</xdr:col>
      <xdr:colOff>600075</xdr:colOff>
      <xdr:row>18</xdr:row>
      <xdr:rowOff>152400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CCEF938F-B002-7E5B-00CB-1C7DF6222292}"/>
            </a:ext>
          </a:extLst>
        </xdr:cNvPr>
        <xdr:cNvCxnSpPr/>
      </xdr:nvCxnSpPr>
      <xdr:spPr>
        <a:xfrm flipH="1">
          <a:off x="7991475" y="3209925"/>
          <a:ext cx="1133475" cy="0"/>
        </a:xfrm>
        <a:prstGeom prst="line">
          <a:avLst/>
        </a:prstGeom>
        <a:ln w="22225">
          <a:solidFill>
            <a:schemeClr val="dk1">
              <a:shade val="95000"/>
              <a:satMod val="105000"/>
            </a:schemeClr>
          </a:solidFill>
          <a:prstDash val="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59</xdr:row>
      <xdr:rowOff>38100</xdr:rowOff>
    </xdr:from>
    <xdr:to>
      <xdr:col>8</xdr:col>
      <xdr:colOff>295275</xdr:colOff>
      <xdr:row>61</xdr:row>
      <xdr:rowOff>9525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C4D0FB1C-0A58-48B1-BF54-A50530457687}"/>
            </a:ext>
          </a:extLst>
        </xdr:cNvPr>
        <xdr:cNvCxnSpPr/>
      </xdr:nvCxnSpPr>
      <xdr:spPr>
        <a:xfrm>
          <a:off x="6991350" y="10896600"/>
          <a:ext cx="9525" cy="180975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361950</xdr:colOff>
      <xdr:row>59</xdr:row>
      <xdr:rowOff>57150</xdr:rowOff>
    </xdr:from>
    <xdr:to>
      <xdr:col>9</xdr:col>
      <xdr:colOff>368300</xdr:colOff>
      <xdr:row>61</xdr:row>
      <xdr:rowOff>25400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183B0CC-22F6-41B1-8207-A7097DE12068}"/>
            </a:ext>
          </a:extLst>
        </xdr:cNvPr>
        <xdr:cNvCxnSpPr/>
      </xdr:nvCxnSpPr>
      <xdr:spPr>
        <a:xfrm>
          <a:off x="7677150" y="10915650"/>
          <a:ext cx="6350" cy="1778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59</xdr:row>
      <xdr:rowOff>38100</xdr:rowOff>
    </xdr:from>
    <xdr:to>
      <xdr:col>10</xdr:col>
      <xdr:colOff>311150</xdr:colOff>
      <xdr:row>61</xdr:row>
      <xdr:rowOff>6350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92658AFC-1887-47CF-AF96-44756EAD9F8E}"/>
            </a:ext>
          </a:extLst>
        </xdr:cNvPr>
        <xdr:cNvCxnSpPr/>
      </xdr:nvCxnSpPr>
      <xdr:spPr>
        <a:xfrm>
          <a:off x="8372475" y="10896600"/>
          <a:ext cx="6350" cy="1778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59</xdr:row>
      <xdr:rowOff>38100</xdr:rowOff>
    </xdr:from>
    <xdr:to>
      <xdr:col>8</xdr:col>
      <xdr:colOff>295275</xdr:colOff>
      <xdr:row>61</xdr:row>
      <xdr:rowOff>9525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C3A7DA55-E910-41B1-B6B0-42824E514A6A}"/>
            </a:ext>
          </a:extLst>
        </xdr:cNvPr>
        <xdr:cNvCxnSpPr/>
      </xdr:nvCxnSpPr>
      <xdr:spPr>
        <a:xfrm>
          <a:off x="6991350" y="10896600"/>
          <a:ext cx="9525" cy="180975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361950</xdr:colOff>
      <xdr:row>59</xdr:row>
      <xdr:rowOff>57150</xdr:rowOff>
    </xdr:from>
    <xdr:to>
      <xdr:col>9</xdr:col>
      <xdr:colOff>368300</xdr:colOff>
      <xdr:row>61</xdr:row>
      <xdr:rowOff>25400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9DD971F9-249D-4CC7-AF1C-B3133E983BC3}"/>
            </a:ext>
          </a:extLst>
        </xdr:cNvPr>
        <xdr:cNvCxnSpPr/>
      </xdr:nvCxnSpPr>
      <xdr:spPr>
        <a:xfrm>
          <a:off x="7677150" y="10915650"/>
          <a:ext cx="6350" cy="1778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59</xdr:row>
      <xdr:rowOff>38100</xdr:rowOff>
    </xdr:from>
    <xdr:to>
      <xdr:col>10</xdr:col>
      <xdr:colOff>311150</xdr:colOff>
      <xdr:row>61</xdr:row>
      <xdr:rowOff>6350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2DFDAE24-CC87-49BB-B5E5-DFF1B2583318}"/>
            </a:ext>
          </a:extLst>
        </xdr:cNvPr>
        <xdr:cNvCxnSpPr/>
      </xdr:nvCxnSpPr>
      <xdr:spPr>
        <a:xfrm>
          <a:off x="8372475" y="10896600"/>
          <a:ext cx="6350" cy="1778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59</xdr:row>
      <xdr:rowOff>38100</xdr:rowOff>
    </xdr:from>
    <xdr:to>
      <xdr:col>8</xdr:col>
      <xdr:colOff>295275</xdr:colOff>
      <xdr:row>61</xdr:row>
      <xdr:rowOff>9525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1DD67D6B-10EE-4483-9731-47ED0BBF2306}"/>
            </a:ext>
          </a:extLst>
        </xdr:cNvPr>
        <xdr:cNvCxnSpPr/>
      </xdr:nvCxnSpPr>
      <xdr:spPr>
        <a:xfrm>
          <a:off x="6991350" y="10896600"/>
          <a:ext cx="9525" cy="180975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361950</xdr:colOff>
      <xdr:row>59</xdr:row>
      <xdr:rowOff>57150</xdr:rowOff>
    </xdr:from>
    <xdr:to>
      <xdr:col>9</xdr:col>
      <xdr:colOff>368300</xdr:colOff>
      <xdr:row>61</xdr:row>
      <xdr:rowOff>25400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23F0003C-111B-4062-91CF-E9C7CEDDA50E}"/>
            </a:ext>
          </a:extLst>
        </xdr:cNvPr>
        <xdr:cNvCxnSpPr/>
      </xdr:nvCxnSpPr>
      <xdr:spPr>
        <a:xfrm>
          <a:off x="7677150" y="10915650"/>
          <a:ext cx="6350" cy="1778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59</xdr:row>
      <xdr:rowOff>38100</xdr:rowOff>
    </xdr:from>
    <xdr:to>
      <xdr:col>10</xdr:col>
      <xdr:colOff>311150</xdr:colOff>
      <xdr:row>61</xdr:row>
      <xdr:rowOff>6350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589F78E8-C7E8-4DFA-BD79-6AA777261FEA}"/>
            </a:ext>
          </a:extLst>
        </xdr:cNvPr>
        <xdr:cNvCxnSpPr/>
      </xdr:nvCxnSpPr>
      <xdr:spPr>
        <a:xfrm>
          <a:off x="8372475" y="10896600"/>
          <a:ext cx="6350" cy="1778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59</xdr:row>
      <xdr:rowOff>38100</xdr:rowOff>
    </xdr:from>
    <xdr:to>
      <xdr:col>8</xdr:col>
      <xdr:colOff>295275</xdr:colOff>
      <xdr:row>61</xdr:row>
      <xdr:rowOff>9525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FF2CC6AC-1622-458A-AEE1-9839FE02D55A}"/>
            </a:ext>
          </a:extLst>
        </xdr:cNvPr>
        <xdr:cNvCxnSpPr/>
      </xdr:nvCxnSpPr>
      <xdr:spPr>
        <a:xfrm>
          <a:off x="6991350" y="10896600"/>
          <a:ext cx="9525" cy="180975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361950</xdr:colOff>
      <xdr:row>59</xdr:row>
      <xdr:rowOff>57150</xdr:rowOff>
    </xdr:from>
    <xdr:to>
      <xdr:col>9</xdr:col>
      <xdr:colOff>368300</xdr:colOff>
      <xdr:row>61</xdr:row>
      <xdr:rowOff>25400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471AA1D3-65FC-4677-BBC9-DF88A0BE04FC}"/>
            </a:ext>
          </a:extLst>
        </xdr:cNvPr>
        <xdr:cNvCxnSpPr/>
      </xdr:nvCxnSpPr>
      <xdr:spPr>
        <a:xfrm>
          <a:off x="7677150" y="10915650"/>
          <a:ext cx="6350" cy="1778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59</xdr:row>
      <xdr:rowOff>38100</xdr:rowOff>
    </xdr:from>
    <xdr:to>
      <xdr:col>10</xdr:col>
      <xdr:colOff>311150</xdr:colOff>
      <xdr:row>61</xdr:row>
      <xdr:rowOff>6350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4B55E0D1-9CE7-4854-97E5-368F3283FE1F}"/>
            </a:ext>
          </a:extLst>
        </xdr:cNvPr>
        <xdr:cNvCxnSpPr/>
      </xdr:nvCxnSpPr>
      <xdr:spPr>
        <a:xfrm>
          <a:off x="8372475" y="10896600"/>
          <a:ext cx="6350" cy="1778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01"/>
  <sheetViews>
    <sheetView showGridLines="0" tabSelected="1" topLeftCell="B1" zoomScaleNormal="100" workbookViewId="0">
      <selection activeCell="Y31" sqref="Y31:AF43"/>
    </sheetView>
  </sheetViews>
  <sheetFormatPr defaultColWidth="8.42578125" defaultRowHeight="12.75" x14ac:dyDescent="0.2"/>
  <cols>
    <col min="1" max="1" width="2" style="15" hidden="1" customWidth="1"/>
    <col min="2" max="2" width="2.5703125" style="15" customWidth="1"/>
    <col min="3" max="3" width="3.7109375" style="15" customWidth="1"/>
    <col min="4" max="4" width="19.7109375" style="16" customWidth="1"/>
    <col min="5" max="5" width="11.42578125" style="15" customWidth="1"/>
    <col min="6" max="6" width="15.140625" style="15" bestFit="1" customWidth="1"/>
    <col min="7" max="7" width="11.28515625" style="15" customWidth="1"/>
    <col min="8" max="8" width="13.42578125" style="15" customWidth="1"/>
    <col min="9" max="9" width="16" style="15" customWidth="1"/>
    <col min="10" max="10" width="3.42578125" style="15" customWidth="1"/>
    <col min="11" max="11" width="2.85546875" style="15" customWidth="1"/>
    <col min="12" max="12" width="6.140625" style="15" customWidth="1"/>
    <col min="13" max="13" width="13" style="16" customWidth="1"/>
    <col min="14" max="14" width="9.140625" style="17" customWidth="1"/>
    <col min="15" max="15" width="11.28515625" style="18" customWidth="1"/>
    <col min="16" max="16" width="8.5703125" style="18" bestFit="1" customWidth="1"/>
    <col min="17" max="17" width="10" style="18" bestFit="1" customWidth="1"/>
    <col min="18" max="19" width="8.5703125" style="18" bestFit="1" customWidth="1"/>
    <col min="20" max="24" width="8.7109375" style="18" customWidth="1"/>
    <col min="25" max="25" width="2.140625" style="18" customWidth="1"/>
    <col min="26" max="29" width="8.42578125" style="18"/>
    <col min="30" max="30" width="8.42578125" style="15"/>
    <col min="31" max="31" width="10.28515625" style="15" customWidth="1"/>
    <col min="32" max="32" width="1.28515625" style="15" customWidth="1"/>
    <col min="33" max="16384" width="8.42578125" style="15"/>
  </cols>
  <sheetData>
    <row r="1" spans="1:24" ht="7.5" customHeight="1" thickBot="1" x14ac:dyDescent="0.25">
      <c r="A1" s="14"/>
      <c r="B1"/>
      <c r="C1"/>
      <c r="D1"/>
      <c r="E1"/>
      <c r="F1"/>
      <c r="G1"/>
      <c r="H1"/>
      <c r="I1"/>
      <c r="J1"/>
      <c r="K1"/>
    </row>
    <row r="2" spans="1:24" ht="13.5" thickTop="1" x14ac:dyDescent="0.2">
      <c r="A2" s="14"/>
      <c r="B2"/>
      <c r="C2" s="19"/>
      <c r="D2" s="20" t="s">
        <v>18</v>
      </c>
      <c r="E2" s="334" t="s">
        <v>76</v>
      </c>
      <c r="F2" s="335"/>
      <c r="G2" s="335"/>
      <c r="H2" s="335"/>
      <c r="I2" s="335"/>
      <c r="J2" s="21"/>
      <c r="K2"/>
      <c r="M2" s="15"/>
      <c r="O2" s="17"/>
    </row>
    <row r="3" spans="1:24" ht="13.5" thickBot="1" x14ac:dyDescent="0.25">
      <c r="A3" s="14"/>
      <c r="B3"/>
      <c r="C3" s="22"/>
      <c r="D3" s="23" t="s">
        <v>87</v>
      </c>
      <c r="E3" s="336"/>
      <c r="F3" s="337"/>
      <c r="G3" s="337"/>
      <c r="H3" s="337"/>
      <c r="I3" s="337"/>
      <c r="J3" s="24"/>
      <c r="K3"/>
      <c r="M3" s="15"/>
    </row>
    <row r="4" spans="1:24" ht="14.25" customHeight="1" thickTop="1" thickBot="1" x14ac:dyDescent="0.25">
      <c r="A4" s="14"/>
      <c r="B4"/>
      <c r="C4" s="22"/>
      <c r="D4" s="25"/>
      <c r="F4" s="346" t="s">
        <v>88</v>
      </c>
      <c r="G4" s="314" t="s">
        <v>152</v>
      </c>
      <c r="I4" s="26"/>
      <c r="J4" s="24"/>
      <c r="K4"/>
      <c r="M4" s="15"/>
    </row>
    <row r="5" spans="1:24" ht="14.25" customHeight="1" thickTop="1" thickBot="1" x14ac:dyDescent="0.25">
      <c r="A5" s="14"/>
      <c r="B5"/>
      <c r="C5" s="22"/>
      <c r="D5" s="27" t="s">
        <v>0</v>
      </c>
      <c r="E5" s="28" t="s">
        <v>36</v>
      </c>
      <c r="F5" s="347"/>
      <c r="G5" s="315"/>
      <c r="H5" s="338" t="s">
        <v>56</v>
      </c>
      <c r="I5" s="339"/>
      <c r="J5" s="29"/>
      <c r="K5"/>
      <c r="L5" s="16"/>
      <c r="M5" s="15"/>
    </row>
    <row r="6" spans="1:24" ht="16.5" customHeight="1" thickBot="1" x14ac:dyDescent="0.3">
      <c r="A6" s="14"/>
      <c r="B6"/>
      <c r="C6" s="22"/>
      <c r="D6" s="30" t="s">
        <v>3</v>
      </c>
      <c r="E6" s="6">
        <v>180</v>
      </c>
      <c r="F6" s="31" t="s">
        <v>89</v>
      </c>
      <c r="G6" s="274" t="s">
        <v>153</v>
      </c>
      <c r="H6" s="340">
        <v>45537</v>
      </c>
      <c r="I6" s="341"/>
      <c r="J6" s="32"/>
      <c r="K6"/>
      <c r="L6" s="33"/>
      <c r="M6" s="15"/>
    </row>
    <row r="7" spans="1:24" ht="14.25" customHeight="1" thickBot="1" x14ac:dyDescent="0.3">
      <c r="A7" s="14"/>
      <c r="B7"/>
      <c r="C7" s="22"/>
      <c r="D7" s="34" t="s">
        <v>68</v>
      </c>
      <c r="E7" s="120">
        <v>145</v>
      </c>
      <c r="F7" s="35" t="s">
        <v>90</v>
      </c>
      <c r="G7" s="273" t="s">
        <v>154</v>
      </c>
      <c r="H7" s="36" t="s">
        <v>91</v>
      </c>
      <c r="I7" s="37">
        <v>45537</v>
      </c>
      <c r="J7" s="29"/>
      <c r="K7"/>
      <c r="L7" s="16"/>
      <c r="M7" s="15"/>
    </row>
    <row r="8" spans="1:24" ht="13.5" customHeight="1" thickBot="1" x14ac:dyDescent="0.25">
      <c r="A8" s="14"/>
      <c r="B8"/>
      <c r="C8" s="22"/>
      <c r="D8" s="34" t="s">
        <v>92</v>
      </c>
      <c r="E8" s="7">
        <v>400</v>
      </c>
      <c r="F8" s="38" t="s">
        <v>37</v>
      </c>
      <c r="G8" s="280">
        <v>5</v>
      </c>
      <c r="H8" s="39" t="s">
        <v>93</v>
      </c>
      <c r="I8" s="40"/>
      <c r="J8" s="32"/>
      <c r="K8"/>
      <c r="L8" s="33"/>
      <c r="M8" s="15"/>
      <c r="S8" s="302"/>
      <c r="T8" s="303"/>
      <c r="W8" s="18" t="s">
        <v>148</v>
      </c>
    </row>
    <row r="9" spans="1:24" ht="13.5" thickBot="1" x14ac:dyDescent="0.25">
      <c r="A9" s="14"/>
      <c r="B9"/>
      <c r="C9" s="22"/>
      <c r="D9" s="34" t="s">
        <v>94</v>
      </c>
      <c r="E9" s="7">
        <v>400</v>
      </c>
      <c r="F9" s="41" t="s">
        <v>55</v>
      </c>
      <c r="G9" s="281">
        <v>1</v>
      </c>
      <c r="H9" s="123" t="s">
        <v>140</v>
      </c>
      <c r="I9" s="42" t="str">
        <f>'Ref Data'!K5</f>
        <v>B99 P/N 99-530073-4</v>
      </c>
      <c r="J9" s="32"/>
      <c r="K9"/>
      <c r="L9" s="16"/>
      <c r="M9" s="15"/>
      <c r="S9" s="303"/>
      <c r="T9" s="303"/>
      <c r="W9" s="18">
        <v>157</v>
      </c>
    </row>
    <row r="10" spans="1:24" x14ac:dyDescent="0.2">
      <c r="A10" s="14"/>
      <c r="B10"/>
      <c r="C10" s="22"/>
      <c r="D10" s="34" t="s">
        <v>95</v>
      </c>
      <c r="E10" s="7">
        <v>400</v>
      </c>
      <c r="F10" s="43" t="s">
        <v>96</v>
      </c>
      <c r="G10" s="44">
        <f>'Ref Data'!B5</f>
        <v>8251.5</v>
      </c>
      <c r="H10" s="342" t="s">
        <v>97</v>
      </c>
      <c r="I10" s="343"/>
      <c r="J10" s="32"/>
      <c r="K10"/>
      <c r="L10" s="33"/>
      <c r="M10" s="15"/>
      <c r="S10" s="303"/>
      <c r="T10" s="303"/>
      <c r="W10" s="18">
        <v>186</v>
      </c>
      <c r="X10" s="266">
        <f>W10-W9</f>
        <v>29</v>
      </c>
    </row>
    <row r="11" spans="1:24" x14ac:dyDescent="0.2">
      <c r="A11" s="14"/>
      <c r="B11"/>
      <c r="C11" s="22"/>
      <c r="D11" s="34" t="s">
        <v>98</v>
      </c>
      <c r="E11" s="7">
        <v>400</v>
      </c>
      <c r="F11" s="45" t="s">
        <v>99</v>
      </c>
      <c r="G11" s="46">
        <f>E6</f>
        <v>180</v>
      </c>
      <c r="H11" s="47"/>
      <c r="I11" s="48"/>
      <c r="J11" s="29"/>
      <c r="K11"/>
      <c r="L11" s="16"/>
      <c r="M11" s="15"/>
      <c r="S11" s="49"/>
      <c r="W11" s="18">
        <v>215</v>
      </c>
      <c r="X11" s="266">
        <f t="shared" ref="X11:X13" si="0">W11-W10</f>
        <v>29</v>
      </c>
    </row>
    <row r="12" spans="1:24" ht="13.5" thickBot="1" x14ac:dyDescent="0.25">
      <c r="A12" s="14"/>
      <c r="B12"/>
      <c r="C12" s="22"/>
      <c r="D12" s="50" t="s">
        <v>100</v>
      </c>
      <c r="E12" s="8">
        <v>0</v>
      </c>
      <c r="F12" s="45" t="s">
        <v>101</v>
      </c>
      <c r="G12" s="46">
        <f>G11+G10+E20</f>
        <v>8472.5</v>
      </c>
      <c r="H12" s="121" t="s">
        <v>102</v>
      </c>
      <c r="I12" s="51"/>
      <c r="J12" s="32"/>
      <c r="K12"/>
      <c r="L12" s="33"/>
      <c r="M12" s="15"/>
      <c r="W12" s="18">
        <v>244</v>
      </c>
      <c r="X12" s="266">
        <f t="shared" si="0"/>
        <v>29</v>
      </c>
    </row>
    <row r="13" spans="1:24" ht="13.5" customHeight="1" thickTop="1" x14ac:dyDescent="0.2">
      <c r="A13" s="14"/>
      <c r="B13"/>
      <c r="C13" s="22"/>
      <c r="D13" s="30" t="s">
        <v>103</v>
      </c>
      <c r="E13" s="9">
        <v>0</v>
      </c>
      <c r="F13" s="52" t="s">
        <v>104</v>
      </c>
      <c r="G13" s="53">
        <f>SUM(E7:E18)</f>
        <v>2570</v>
      </c>
      <c r="H13" s="47"/>
      <c r="I13" s="344" t="s">
        <v>161</v>
      </c>
      <c r="J13" s="29"/>
      <c r="K13"/>
      <c r="L13" s="16"/>
      <c r="M13" s="15"/>
      <c r="W13" s="18">
        <v>278</v>
      </c>
      <c r="X13" s="266">
        <f t="shared" si="0"/>
        <v>34</v>
      </c>
    </row>
    <row r="14" spans="1:24" ht="13.5" thickBot="1" x14ac:dyDescent="0.25">
      <c r="A14" s="14"/>
      <c r="B14"/>
      <c r="C14" s="22"/>
      <c r="D14" s="34" t="s">
        <v>105</v>
      </c>
      <c r="E14" s="10">
        <v>0</v>
      </c>
      <c r="F14" s="45" t="s">
        <v>107</v>
      </c>
      <c r="G14" s="46">
        <f>E19*6.7</f>
        <v>1541</v>
      </c>
      <c r="I14" s="345"/>
      <c r="J14" s="29"/>
      <c r="K14"/>
      <c r="L14" s="16"/>
      <c r="M14" s="15"/>
      <c r="W14" s="18" t="s">
        <v>149</v>
      </c>
    </row>
    <row r="15" spans="1:24" ht="12.75" customHeight="1" x14ac:dyDescent="0.2">
      <c r="A15" s="14"/>
      <c r="B15"/>
      <c r="C15" s="22"/>
      <c r="D15" s="34" t="s">
        <v>106</v>
      </c>
      <c r="E15" s="10">
        <v>0</v>
      </c>
      <c r="F15" s="45" t="s">
        <v>69</v>
      </c>
      <c r="G15" s="46">
        <f>G12+G13</f>
        <v>11042.5</v>
      </c>
      <c r="H15" s="54" t="str">
        <f>IF(G15&lt;11001,"ZFW is OK","OVER ZFW")</f>
        <v>OVER ZFW</v>
      </c>
      <c r="I15" s="316" t="s">
        <v>137</v>
      </c>
      <c r="J15" s="24"/>
      <c r="K15"/>
      <c r="M15" s="15"/>
      <c r="W15" s="18">
        <v>163</v>
      </c>
    </row>
    <row r="16" spans="1:24" ht="13.5" thickBot="1" x14ac:dyDescent="0.25">
      <c r="A16" s="14"/>
      <c r="B16"/>
      <c r="C16" s="22"/>
      <c r="D16" s="34" t="s">
        <v>108</v>
      </c>
      <c r="E16" s="10">
        <v>250</v>
      </c>
      <c r="F16" s="45" t="s">
        <v>135</v>
      </c>
      <c r="G16" s="55">
        <f>G14+G15</f>
        <v>12583.5</v>
      </c>
      <c r="H16" s="54" t="str">
        <f>IF(Takeoff_Wt&lt;12501,"T.O Wt OK",'Ref Data'!G23)</f>
        <v>BURN TAXI FUEL</v>
      </c>
      <c r="I16" s="317"/>
      <c r="J16" s="24"/>
      <c r="K16"/>
      <c r="M16" s="15"/>
      <c r="W16" s="18">
        <v>192</v>
      </c>
      <c r="X16" s="266">
        <f>W16-W15</f>
        <v>29</v>
      </c>
    </row>
    <row r="17" spans="1:39" ht="14.25" customHeight="1" x14ac:dyDescent="0.2">
      <c r="A17" s="14"/>
      <c r="B17"/>
      <c r="C17" s="22"/>
      <c r="D17" s="34" t="s">
        <v>118</v>
      </c>
      <c r="E17" s="10">
        <v>350</v>
      </c>
      <c r="F17" s="52" t="s">
        <v>109</v>
      </c>
      <c r="G17" s="56">
        <f>'Ref Data'!C22</f>
        <v>192.82973735447212</v>
      </c>
      <c r="H17" s="57" t="str">
        <f>IF(Takeoff_CG&gt;196.4,"BAD CG",'Ref Data'!G25)</f>
        <v>IN C.G.</v>
      </c>
      <c r="I17" s="318" t="s">
        <v>136</v>
      </c>
      <c r="J17" s="24"/>
      <c r="K17"/>
      <c r="M17" s="15"/>
      <c r="W17" s="18">
        <v>221</v>
      </c>
      <c r="X17" s="266">
        <f t="shared" ref="X17:X19" si="1">W17-W16</f>
        <v>29</v>
      </c>
    </row>
    <row r="18" spans="1:39" ht="13.5" thickBot="1" x14ac:dyDescent="0.25">
      <c r="A18" s="14"/>
      <c r="B18"/>
      <c r="C18" s="22"/>
      <c r="D18" s="275" t="s">
        <v>157</v>
      </c>
      <c r="E18" s="8">
        <v>225</v>
      </c>
      <c r="F18" s="58" t="s">
        <v>110</v>
      </c>
      <c r="G18" s="59">
        <f>IF(G16&lt;11280,181,'Ref Data'!L64)</f>
        <v>185</v>
      </c>
      <c r="H18" s="60" t="s">
        <v>111</v>
      </c>
      <c r="I18" s="319"/>
      <c r="J18" s="24"/>
      <c r="K18"/>
      <c r="M18" s="15"/>
      <c r="W18" s="18">
        <v>250</v>
      </c>
      <c r="X18" s="266">
        <f t="shared" si="1"/>
        <v>29</v>
      </c>
    </row>
    <row r="19" spans="1:39" ht="13.5" thickTop="1" x14ac:dyDescent="0.2">
      <c r="A19" s="14"/>
      <c r="B19"/>
      <c r="C19" s="22"/>
      <c r="D19" s="61" t="s">
        <v>112</v>
      </c>
      <c r="E19" s="11">
        <v>230</v>
      </c>
      <c r="F19" s="62" t="s">
        <v>113</v>
      </c>
      <c r="G19" s="63">
        <f>G16-(G21*6.7)</f>
        <v>12017.722222222223</v>
      </c>
      <c r="H19"/>
      <c r="I19" s="48"/>
      <c r="J19" s="64"/>
      <c r="K19"/>
      <c r="M19" s="15"/>
      <c r="W19" s="18">
        <v>279</v>
      </c>
      <c r="X19" s="266">
        <f t="shared" si="1"/>
        <v>29</v>
      </c>
    </row>
    <row r="20" spans="1:39" ht="13.5" thickBot="1" x14ac:dyDescent="0.25">
      <c r="A20" s="14"/>
      <c r="B20"/>
      <c r="C20" s="22"/>
      <c r="D20" s="65" t="s">
        <v>115</v>
      </c>
      <c r="E20" s="282">
        <v>41</v>
      </c>
      <c r="F20" s="66" t="s">
        <v>116</v>
      </c>
      <c r="G20" s="12" t="s">
        <v>141</v>
      </c>
      <c r="H20" s="122" t="s">
        <v>143</v>
      </c>
      <c r="I20" s="48"/>
      <c r="J20" s="64"/>
      <c r="K20"/>
      <c r="L20" s="67"/>
      <c r="M20" s="15"/>
      <c r="W20" s="18" t="s">
        <v>150</v>
      </c>
    </row>
    <row r="21" spans="1:39" x14ac:dyDescent="0.2">
      <c r="A21" s="14"/>
      <c r="B21"/>
      <c r="C21" s="22"/>
      <c r="D21" s="68" t="s">
        <v>24</v>
      </c>
      <c r="E21" s="13">
        <v>215</v>
      </c>
      <c r="F21" s="69" t="s">
        <v>132</v>
      </c>
      <c r="G21" s="70">
        <f>(E23*80)</f>
        <v>84.444444444444443</v>
      </c>
      <c r="H21" s="71" t="s">
        <v>134</v>
      </c>
      <c r="I21" s="72" t="s">
        <v>114</v>
      </c>
      <c r="J21" s="73"/>
      <c r="K21"/>
      <c r="L21" s="74"/>
      <c r="M21" s="15"/>
      <c r="W21" s="18">
        <v>157</v>
      </c>
    </row>
    <row r="22" spans="1:39" ht="13.5" thickBot="1" x14ac:dyDescent="0.25">
      <c r="A22" s="14"/>
      <c r="B22"/>
      <c r="C22" s="22"/>
      <c r="D22" s="68" t="s">
        <v>138</v>
      </c>
      <c r="E22" s="75">
        <f>(((E21)/185)+0.1)*75</f>
        <v>94.662162162162161</v>
      </c>
      <c r="F22" s="69" t="s">
        <v>133</v>
      </c>
      <c r="G22" s="70">
        <f>G21*2+60</f>
        <v>228.88888888888889</v>
      </c>
      <c r="H22" s="71" t="s">
        <v>134</v>
      </c>
      <c r="I22" s="76" t="s">
        <v>156</v>
      </c>
      <c r="J22" s="73"/>
      <c r="K22"/>
      <c r="L22" s="74"/>
      <c r="M22" s="15"/>
      <c r="W22" s="18">
        <v>186</v>
      </c>
      <c r="X22" s="266">
        <f>W22-W21</f>
        <v>29</v>
      </c>
    </row>
    <row r="23" spans="1:39" ht="12.75" customHeight="1" thickBot="1" x14ac:dyDescent="0.25">
      <c r="A23" s="14"/>
      <c r="B23"/>
      <c r="C23" s="22"/>
      <c r="D23" s="77" t="s">
        <v>129</v>
      </c>
      <c r="E23" s="78">
        <f>((E21)/225)+0.1</f>
        <v>1.0555555555555556</v>
      </c>
      <c r="F23" s="79" t="s">
        <v>131</v>
      </c>
      <c r="G23" s="26"/>
      <c r="H23" s="332"/>
      <c r="I23" s="333"/>
      <c r="J23" s="73"/>
      <c r="K23"/>
      <c r="M23" s="15"/>
      <c r="T23" s="267"/>
      <c r="U23" s="268"/>
      <c r="V23" s="268"/>
      <c r="W23" s="18">
        <v>215</v>
      </c>
      <c r="X23" s="266">
        <f t="shared" ref="X23:X25" si="2">W23-W22</f>
        <v>29</v>
      </c>
      <c r="AA23" s="80"/>
    </row>
    <row r="24" spans="1:39" ht="13.5" customHeight="1" thickTop="1" thickBot="1" x14ac:dyDescent="0.25">
      <c r="A24" s="14"/>
      <c r="B24"/>
      <c r="C24" s="81"/>
      <c r="D24" s="82"/>
      <c r="E24" s="83"/>
      <c r="F24" s="83"/>
      <c r="G24" s="83"/>
      <c r="H24" s="84"/>
      <c r="I24" s="85" t="s">
        <v>117</v>
      </c>
      <c r="J24" s="86"/>
      <c r="K24"/>
      <c r="M24" s="15"/>
      <c r="T24" s="268"/>
      <c r="U24" s="268"/>
      <c r="V24" s="268"/>
      <c r="W24" s="18">
        <v>244</v>
      </c>
      <c r="X24" s="266">
        <f t="shared" si="2"/>
        <v>29</v>
      </c>
    </row>
    <row r="25" spans="1:39" ht="13.5" customHeight="1" thickTop="1" x14ac:dyDescent="0.2">
      <c r="A25" s="14"/>
      <c r="B25"/>
      <c r="C25"/>
      <c r="D25"/>
      <c r="E25"/>
      <c r="F25"/>
      <c r="G25"/>
      <c r="H25"/>
      <c r="I25"/>
      <c r="J25" s="87"/>
      <c r="K25"/>
      <c r="M25" s="15"/>
      <c r="T25" s="268"/>
      <c r="U25" s="268"/>
      <c r="V25" s="268"/>
      <c r="W25" s="18">
        <v>278</v>
      </c>
      <c r="X25" s="266">
        <f t="shared" si="2"/>
        <v>34</v>
      </c>
    </row>
    <row r="26" spans="1:39" ht="7.5" customHeight="1" x14ac:dyDescent="0.2">
      <c r="A26" s="14"/>
      <c r="C26" s="14"/>
      <c r="D26" s="88"/>
      <c r="E26" s="14"/>
      <c r="F26" s="14"/>
      <c r="G26" s="89"/>
      <c r="H26" s="14"/>
      <c r="I26" s="14"/>
      <c r="J26" s="14"/>
      <c r="O26" s="17"/>
      <c r="P26" s="90"/>
      <c r="T26" s="268"/>
      <c r="U26" s="268"/>
      <c r="V26" s="268"/>
      <c r="W26" s="268"/>
      <c r="X26" s="268"/>
    </row>
    <row r="27" spans="1:39" ht="11.25" customHeight="1" thickBot="1" x14ac:dyDescent="0.25">
      <c r="O27" s="17"/>
      <c r="T27" s="268"/>
      <c r="U27" s="268"/>
      <c r="V27" s="268"/>
      <c r="W27" s="268"/>
      <c r="X27" s="268"/>
    </row>
    <row r="28" spans="1:39" ht="13.5" customHeight="1" thickTop="1" x14ac:dyDescent="0.2">
      <c r="C28" s="320" t="s">
        <v>162</v>
      </c>
      <c r="D28" s="321"/>
      <c r="E28" s="321"/>
      <c r="F28" s="321"/>
      <c r="G28" s="321"/>
      <c r="H28" s="322"/>
      <c r="I28" s="323"/>
      <c r="J28" s="18"/>
      <c r="K28" s="18"/>
      <c r="T28" s="268"/>
      <c r="U28" s="268"/>
      <c r="V28" s="268"/>
      <c r="W28" s="268"/>
      <c r="X28" s="268"/>
    </row>
    <row r="29" spans="1:39" ht="13.5" customHeight="1" x14ac:dyDescent="0.2">
      <c r="C29" s="324"/>
      <c r="D29" s="325"/>
      <c r="E29" s="325"/>
      <c r="F29" s="325"/>
      <c r="G29" s="325"/>
      <c r="H29" s="326"/>
      <c r="I29" s="327"/>
      <c r="J29" s="18"/>
      <c r="K29" s="18"/>
      <c r="T29" s="268"/>
      <c r="U29" s="268"/>
      <c r="V29" s="268"/>
      <c r="W29" s="268"/>
      <c r="X29" s="268"/>
    </row>
    <row r="30" spans="1:39" ht="13.5" thickBot="1" x14ac:dyDescent="0.25">
      <c r="C30" s="328" t="s">
        <v>158</v>
      </c>
      <c r="D30" s="329"/>
      <c r="E30" s="329"/>
      <c r="F30" s="329"/>
      <c r="G30" s="329"/>
      <c r="H30" s="330"/>
      <c r="I30" s="331"/>
      <c r="J30" s="18"/>
      <c r="K30" s="18"/>
      <c r="AB30" s="18" t="s">
        <v>164</v>
      </c>
    </row>
    <row r="31" spans="1:39" ht="14.25" thickTop="1" thickBot="1" x14ac:dyDescent="0.25">
      <c r="C31" s="91"/>
      <c r="D31" s="26"/>
      <c r="E31" s="92" t="s">
        <v>35</v>
      </c>
      <c r="F31" s="92" t="s">
        <v>36</v>
      </c>
      <c r="G31" s="92" t="s">
        <v>11</v>
      </c>
      <c r="H31" s="93" t="s">
        <v>26</v>
      </c>
      <c r="I31" s="94"/>
      <c r="J31" s="95"/>
      <c r="K31" s="18"/>
    </row>
    <row r="32" spans="1:39" ht="14.25" thickTop="1" thickBot="1" x14ac:dyDescent="0.25">
      <c r="C32" s="96"/>
      <c r="D32" s="97" t="s">
        <v>12</v>
      </c>
      <c r="E32" s="98">
        <v>1</v>
      </c>
      <c r="F32" s="99">
        <v>8075.5</v>
      </c>
      <c r="G32" s="100">
        <f>H32/F32</f>
        <v>184.19354838709677</v>
      </c>
      <c r="H32" s="124">
        <v>1487455</v>
      </c>
      <c r="I32" s="259" t="s">
        <v>75</v>
      </c>
      <c r="J32" s="260"/>
      <c r="K32" s="261"/>
      <c r="L32" s="262"/>
      <c r="M32" s="262"/>
      <c r="N32" s="262"/>
      <c r="O32" s="262"/>
      <c r="P32" s="263"/>
      <c r="Z32" s="299" t="s">
        <v>167</v>
      </c>
      <c r="AA32" s="300"/>
      <c r="AB32" s="300"/>
      <c r="AC32" s="300"/>
      <c r="AD32" s="300"/>
      <c r="AE32" s="301"/>
      <c r="AF32" s="139"/>
      <c r="AG32" s="18"/>
      <c r="AH32" s="18"/>
      <c r="AJ32" s="16"/>
      <c r="AK32" s="17"/>
      <c r="AL32" s="18"/>
      <c r="AM32" s="18"/>
    </row>
    <row r="33" spans="3:39" ht="14.25" thickTop="1" thickBot="1" x14ac:dyDescent="0.25">
      <c r="C33" s="101"/>
      <c r="D33" s="102" t="s">
        <v>53</v>
      </c>
      <c r="E33" s="103">
        <v>2</v>
      </c>
      <c r="F33" s="104">
        <f>F32+'Ref Data'!I42</f>
        <v>8119.5</v>
      </c>
      <c r="G33" s="105">
        <f>H33/F33</f>
        <v>184.08682800665065</v>
      </c>
      <c r="H33" s="106">
        <f>H32+'Ref Data'!K42</f>
        <v>1494693</v>
      </c>
      <c r="I33" s="94"/>
      <c r="J33" s="304" t="s">
        <v>155</v>
      </c>
      <c r="K33" s="305"/>
      <c r="L33" s="305"/>
      <c r="M33" s="305"/>
      <c r="N33" s="305"/>
      <c r="O33" s="305"/>
      <c r="P33" s="306"/>
      <c r="U33" s="107"/>
      <c r="V33" s="107"/>
      <c r="W33" s="107"/>
      <c r="Z33" s="91"/>
      <c r="AA33" s="26"/>
      <c r="AB33" s="92" t="s">
        <v>35</v>
      </c>
      <c r="AC33" s="92" t="s">
        <v>36</v>
      </c>
      <c r="AD33" s="92" t="s">
        <v>11</v>
      </c>
      <c r="AE33" s="283" t="s">
        <v>26</v>
      </c>
      <c r="AF33" s="74"/>
      <c r="AG33" s="95"/>
      <c r="AH33" s="18"/>
      <c r="AJ33" s="16"/>
      <c r="AK33" s="17"/>
      <c r="AL33" s="18"/>
      <c r="AM33" s="18"/>
    </row>
    <row r="34" spans="3:39" ht="13.5" thickTop="1" x14ac:dyDescent="0.2">
      <c r="C34" s="101"/>
      <c r="D34" s="102" t="s">
        <v>52</v>
      </c>
      <c r="E34" s="103">
        <v>3</v>
      </c>
      <c r="F34" s="104">
        <f>F32+'Ref Data'!I43</f>
        <v>8163.5</v>
      </c>
      <c r="G34" s="105">
        <f t="shared" ref="G34:G39" si="3">H34/F34</f>
        <v>184.15373308017394</v>
      </c>
      <c r="H34" s="106">
        <f>H32+'Ref Data'!K43</f>
        <v>1503339</v>
      </c>
      <c r="I34" s="108"/>
      <c r="J34" s="305"/>
      <c r="K34" s="305"/>
      <c r="L34" s="305"/>
      <c r="M34" s="305"/>
      <c r="N34" s="305"/>
      <c r="O34" s="305"/>
      <c r="P34" s="306"/>
      <c r="Z34" s="96"/>
      <c r="AA34" s="97" t="s">
        <v>12</v>
      </c>
      <c r="AB34" s="98">
        <v>1</v>
      </c>
      <c r="AC34" s="99">
        <v>8075.5</v>
      </c>
      <c r="AD34" s="100">
        <f>AE34/AC34</f>
        <v>184.19354838709677</v>
      </c>
      <c r="AE34" s="124">
        <v>1487455</v>
      </c>
    </row>
    <row r="35" spans="3:39" x14ac:dyDescent="0.2">
      <c r="C35" s="101"/>
      <c r="D35" s="102" t="s">
        <v>13</v>
      </c>
      <c r="E35" s="103">
        <v>4</v>
      </c>
      <c r="F35" s="104">
        <f>F32+'Ref Data'!I44</f>
        <v>8207.5</v>
      </c>
      <c r="G35" s="105">
        <f t="shared" si="3"/>
        <v>184.37538836430093</v>
      </c>
      <c r="H35" s="106">
        <f>H32+'Ref Data'!K44</f>
        <v>1513261</v>
      </c>
      <c r="I35" s="108"/>
      <c r="J35" s="305"/>
      <c r="K35" s="305"/>
      <c r="L35" s="305"/>
      <c r="M35" s="305"/>
      <c r="N35" s="305"/>
      <c r="O35" s="305"/>
      <c r="P35" s="306"/>
      <c r="Z35" s="101"/>
      <c r="AA35" s="102" t="s">
        <v>53</v>
      </c>
      <c r="AB35" s="103">
        <v>2</v>
      </c>
      <c r="AC35" s="104">
        <v>8119.5</v>
      </c>
      <c r="AD35" s="105">
        <v>184.08682800665065</v>
      </c>
      <c r="AE35" s="284">
        <v>1494693</v>
      </c>
    </row>
    <row r="36" spans="3:39" x14ac:dyDescent="0.2">
      <c r="C36" s="101"/>
      <c r="D36" s="102" t="s">
        <v>14</v>
      </c>
      <c r="E36" s="103">
        <v>5</v>
      </c>
      <c r="F36" s="104">
        <f>F32+'Ref Data'!I45</f>
        <v>8251.5</v>
      </c>
      <c r="G36" s="105">
        <f t="shared" si="3"/>
        <v>184.74931830576259</v>
      </c>
      <c r="H36" s="106">
        <f>H32+'Ref Data'!K45</f>
        <v>1524459</v>
      </c>
      <c r="I36" s="108"/>
      <c r="J36" s="305"/>
      <c r="K36" s="305"/>
      <c r="L36" s="305"/>
      <c r="M36" s="305"/>
      <c r="N36" s="305"/>
      <c r="O36" s="305"/>
      <c r="P36" s="306"/>
      <c r="Z36" s="101"/>
      <c r="AA36" s="102" t="s">
        <v>52</v>
      </c>
      <c r="AB36" s="103">
        <v>3</v>
      </c>
      <c r="AC36" s="104">
        <v>8163.5</v>
      </c>
      <c r="AD36" s="105">
        <v>184.15373308017394</v>
      </c>
      <c r="AE36" s="284">
        <v>1503339</v>
      </c>
    </row>
    <row r="37" spans="3:39" x14ac:dyDescent="0.2">
      <c r="C37" s="101"/>
      <c r="D37" s="102" t="s">
        <v>15</v>
      </c>
      <c r="E37" s="103">
        <v>6</v>
      </c>
      <c r="F37" s="104">
        <f>F32+'Ref Data'!I46</f>
        <v>8163.5</v>
      </c>
      <c r="G37" s="105">
        <f t="shared" si="3"/>
        <v>184.47442886017026</v>
      </c>
      <c r="H37" s="106">
        <f>H32+'Ref Data'!K46</f>
        <v>1505957</v>
      </c>
      <c r="I37" s="94"/>
      <c r="J37" s="305"/>
      <c r="K37" s="305"/>
      <c r="L37" s="305"/>
      <c r="M37" s="305"/>
      <c r="N37" s="305"/>
      <c r="O37" s="305"/>
      <c r="P37" s="306"/>
      <c r="R37" s="257"/>
      <c r="Z37" s="101"/>
      <c r="AA37" s="102" t="s">
        <v>13</v>
      </c>
      <c r="AB37" s="103">
        <v>4</v>
      </c>
      <c r="AC37" s="104">
        <v>8207.5</v>
      </c>
      <c r="AD37" s="105">
        <v>184.37538836430093</v>
      </c>
      <c r="AE37" s="284">
        <v>1513261</v>
      </c>
    </row>
    <row r="38" spans="3:39" x14ac:dyDescent="0.2">
      <c r="C38" s="101"/>
      <c r="D38" s="102" t="s">
        <v>16</v>
      </c>
      <c r="E38" s="103">
        <v>7</v>
      </c>
      <c r="F38" s="104">
        <f>F32+'Ref Data'!I47</f>
        <v>8185.5</v>
      </c>
      <c r="G38" s="105">
        <f t="shared" si="3"/>
        <v>184.26485859141164</v>
      </c>
      <c r="H38" s="106">
        <f>H32+'Ref Data'!K47</f>
        <v>1508300</v>
      </c>
      <c r="I38" s="307" t="s">
        <v>159</v>
      </c>
      <c r="J38" s="308"/>
      <c r="K38" s="308"/>
      <c r="L38" s="308"/>
      <c r="M38" s="308"/>
      <c r="N38" s="308"/>
      <c r="O38" s="308"/>
      <c r="P38" s="309"/>
      <c r="Z38" s="101"/>
      <c r="AA38" s="102" t="s">
        <v>14</v>
      </c>
      <c r="AB38" s="103">
        <v>5</v>
      </c>
      <c r="AC38" s="104">
        <v>8251.5</v>
      </c>
      <c r="AD38" s="105">
        <v>184.74931830576259</v>
      </c>
      <c r="AE38" s="284">
        <v>1524459</v>
      </c>
    </row>
    <row r="39" spans="3:39" ht="13.5" thickBot="1" x14ac:dyDescent="0.25">
      <c r="C39" s="109"/>
      <c r="D39" s="110" t="s">
        <v>17</v>
      </c>
      <c r="E39" s="111">
        <v>8</v>
      </c>
      <c r="F39" s="112">
        <f>F32+'Ref Data'!I48</f>
        <v>8273.5</v>
      </c>
      <c r="G39" s="113">
        <f t="shared" si="3"/>
        <v>185.01190548135614</v>
      </c>
      <c r="H39" s="114">
        <f>H32+'Ref Data'!K48</f>
        <v>1530696</v>
      </c>
      <c r="I39" s="310"/>
      <c r="J39" s="308"/>
      <c r="K39" s="308"/>
      <c r="L39" s="308"/>
      <c r="M39" s="308"/>
      <c r="N39" s="308"/>
      <c r="O39" s="308"/>
      <c r="P39" s="309"/>
      <c r="Z39" s="101"/>
      <c r="AA39" s="102" t="s">
        <v>15</v>
      </c>
      <c r="AB39" s="103">
        <v>6</v>
      </c>
      <c r="AC39" s="104">
        <v>8163.5</v>
      </c>
      <c r="AD39" s="105">
        <v>184.47442886017026</v>
      </c>
      <c r="AE39" s="284">
        <v>1505957</v>
      </c>
    </row>
    <row r="40" spans="3:39" ht="14.25" thickTop="1" thickBot="1" x14ac:dyDescent="0.25">
      <c r="C40" s="128"/>
      <c r="D40" s="129"/>
      <c r="E40" s="126" t="s">
        <v>145</v>
      </c>
      <c r="F40" s="130" t="str">
        <f>I9</f>
        <v>B99 P/N 99-530073-4</v>
      </c>
      <c r="G40" s="126" t="s">
        <v>144</v>
      </c>
      <c r="H40" s="127">
        <f>Installed_Seat_WT</f>
        <v>22</v>
      </c>
      <c r="I40" s="311"/>
      <c r="J40" s="312"/>
      <c r="K40" s="312"/>
      <c r="L40" s="312"/>
      <c r="M40" s="312"/>
      <c r="N40" s="312"/>
      <c r="O40" s="312"/>
      <c r="P40" s="313"/>
      <c r="Z40" s="101"/>
      <c r="AA40" s="102" t="s">
        <v>16</v>
      </c>
      <c r="AB40" s="103">
        <v>7</v>
      </c>
      <c r="AC40" s="104">
        <v>8185.5</v>
      </c>
      <c r="AD40" s="105">
        <v>184.26485859141164</v>
      </c>
      <c r="AE40" s="284">
        <v>1508300</v>
      </c>
    </row>
    <row r="41" spans="3:39" ht="14.25" thickTop="1" thickBot="1" x14ac:dyDescent="0.25">
      <c r="E41" s="16"/>
      <c r="G41" s="16"/>
      <c r="H41" s="16"/>
      <c r="I41" s="258"/>
      <c r="J41" s="258"/>
      <c r="K41" s="258"/>
      <c r="L41" s="258"/>
      <c r="M41" s="258"/>
      <c r="N41" s="258"/>
      <c r="O41" s="258"/>
      <c r="P41" s="258"/>
      <c r="Q41" s="115"/>
      <c r="Z41" s="109"/>
      <c r="AA41" s="110" t="s">
        <v>17</v>
      </c>
      <c r="AB41" s="111">
        <v>8</v>
      </c>
      <c r="AC41" s="112">
        <v>8273.5</v>
      </c>
      <c r="AD41" s="113">
        <v>185.01190548135614</v>
      </c>
      <c r="AE41" s="285">
        <v>1530696</v>
      </c>
    </row>
    <row r="42" spans="3:39" ht="14.25" thickTop="1" thickBot="1" x14ac:dyDescent="0.25">
      <c r="E42" s="16"/>
      <c r="G42" s="16"/>
      <c r="H42" s="16"/>
      <c r="L42" s="18"/>
      <c r="Z42" s="128" t="s">
        <v>168</v>
      </c>
      <c r="AA42" s="129"/>
      <c r="AB42" s="126"/>
      <c r="AC42" s="130"/>
      <c r="AD42" s="126" t="s">
        <v>144</v>
      </c>
      <c r="AE42" s="127" t="s">
        <v>163</v>
      </c>
    </row>
    <row r="43" spans="3:39" ht="13.5" thickTop="1" x14ac:dyDescent="0.2">
      <c r="E43" s="16"/>
      <c r="G43" s="16"/>
      <c r="H43" s="16"/>
      <c r="L43" s="18"/>
    </row>
    <row r="44" spans="3:39" x14ac:dyDescent="0.2">
      <c r="E44" s="16"/>
      <c r="G44" s="16"/>
      <c r="H44" s="16"/>
      <c r="L44" s="18"/>
    </row>
    <row r="45" spans="3:39" x14ac:dyDescent="0.2">
      <c r="E45" s="16"/>
      <c r="G45" s="16"/>
      <c r="H45" s="16"/>
      <c r="L45" s="18"/>
    </row>
    <row r="46" spans="3:39" x14ac:dyDescent="0.2">
      <c r="E46" s="16"/>
      <c r="G46" s="16"/>
      <c r="H46" s="16"/>
      <c r="L46" s="18"/>
    </row>
    <row r="47" spans="3:39" x14ac:dyDescent="0.2">
      <c r="E47" s="16"/>
      <c r="G47" s="16"/>
      <c r="H47" s="16"/>
      <c r="L47" s="18"/>
    </row>
    <row r="48" spans="3:39" x14ac:dyDescent="0.2">
      <c r="E48" s="16"/>
      <c r="G48" s="16"/>
      <c r="H48" s="16"/>
      <c r="L48" s="18"/>
    </row>
    <row r="49" spans="5:17" x14ac:dyDescent="0.2">
      <c r="E49" s="16"/>
      <c r="G49" s="16"/>
      <c r="H49" s="16"/>
      <c r="L49" s="18"/>
    </row>
    <row r="50" spans="5:17" x14ac:dyDescent="0.2">
      <c r="E50" s="16"/>
      <c r="G50" s="16"/>
      <c r="H50" s="16"/>
      <c r="L50" s="18"/>
    </row>
    <row r="51" spans="5:17" x14ac:dyDescent="0.2">
      <c r="E51" s="16"/>
      <c r="G51" s="16"/>
      <c r="H51" s="16"/>
      <c r="L51" s="18"/>
    </row>
    <row r="52" spans="5:17" x14ac:dyDescent="0.2">
      <c r="E52" s="16"/>
      <c r="G52" s="16"/>
      <c r="H52" s="16"/>
      <c r="L52" s="18"/>
    </row>
    <row r="53" spans="5:17" x14ac:dyDescent="0.2">
      <c r="E53" s="16"/>
      <c r="G53" s="16"/>
      <c r="H53" s="16"/>
      <c r="L53" s="18"/>
    </row>
    <row r="54" spans="5:17" x14ac:dyDescent="0.2">
      <c r="E54" s="16"/>
      <c r="G54" s="16"/>
      <c r="H54" s="16"/>
      <c r="L54" s="18"/>
    </row>
    <row r="55" spans="5:17" x14ac:dyDescent="0.2">
      <c r="E55" s="16"/>
      <c r="G55" s="16"/>
      <c r="H55" s="16"/>
      <c r="L55" s="18"/>
    </row>
    <row r="56" spans="5:17" x14ac:dyDescent="0.2">
      <c r="E56" s="16"/>
      <c r="G56" s="16"/>
      <c r="H56" s="16"/>
      <c r="L56" s="18"/>
    </row>
    <row r="57" spans="5:17" x14ac:dyDescent="0.2">
      <c r="E57" s="16"/>
      <c r="G57" s="16"/>
      <c r="H57" s="16"/>
      <c r="L57" s="18"/>
      <c r="M57" s="17"/>
      <c r="N57" s="116"/>
      <c r="O57" s="117"/>
      <c r="P57" s="117"/>
    </row>
    <row r="58" spans="5:17" x14ac:dyDescent="0.2">
      <c r="E58" s="16"/>
      <c r="G58" s="16"/>
      <c r="H58" s="16"/>
      <c r="L58" s="18"/>
      <c r="M58" s="17"/>
      <c r="Q58" s="117"/>
    </row>
    <row r="59" spans="5:17" x14ac:dyDescent="0.2">
      <c r="E59" s="16"/>
      <c r="G59" s="16"/>
      <c r="H59" s="16"/>
      <c r="L59" s="18"/>
    </row>
    <row r="60" spans="5:17" x14ac:dyDescent="0.2">
      <c r="L60" s="18"/>
      <c r="M60" s="18"/>
      <c r="N60" s="18"/>
    </row>
    <row r="61" spans="5:17" s="18" customFormat="1" ht="8.25" x14ac:dyDescent="0.15"/>
    <row r="62" spans="5:17" s="18" customFormat="1" ht="8.25" x14ac:dyDescent="0.15"/>
    <row r="63" spans="5:17" s="18" customFormat="1" ht="8.25" x14ac:dyDescent="0.15"/>
    <row r="64" spans="5:17" s="18" customFormat="1" ht="8.25" x14ac:dyDescent="0.15"/>
    <row r="65" s="18" customFormat="1" ht="12.75" customHeight="1" x14ac:dyDescent="0.15"/>
    <row r="66" s="18" customFormat="1" ht="8.25" x14ac:dyDescent="0.15"/>
    <row r="67" s="18" customFormat="1" ht="8.25" x14ac:dyDescent="0.15"/>
    <row r="68" s="18" customFormat="1" ht="8.25" x14ac:dyDescent="0.15"/>
    <row r="69" s="18" customFormat="1" ht="8.25" x14ac:dyDescent="0.15"/>
    <row r="70" s="18" customFormat="1" ht="8.25" x14ac:dyDescent="0.15"/>
    <row r="71" s="18" customFormat="1" ht="8.25" x14ac:dyDescent="0.15"/>
    <row r="72" s="18" customFormat="1" ht="8.25" x14ac:dyDescent="0.15"/>
    <row r="73" s="18" customFormat="1" ht="8.25" x14ac:dyDescent="0.15"/>
    <row r="74" s="18" customFormat="1" ht="8.25" x14ac:dyDescent="0.15"/>
    <row r="75" s="18" customFormat="1" ht="8.25" x14ac:dyDescent="0.15"/>
    <row r="76" s="18" customFormat="1" ht="8.25" x14ac:dyDescent="0.15"/>
    <row r="77" s="18" customFormat="1" ht="8.25" x14ac:dyDescent="0.15"/>
    <row r="78" s="18" customFormat="1" ht="8.25" x14ac:dyDescent="0.15"/>
    <row r="79" s="18" customFormat="1" ht="8.25" x14ac:dyDescent="0.15"/>
    <row r="80" s="18" customFormat="1" ht="8.25" x14ac:dyDescent="0.15"/>
    <row r="81" s="18" customFormat="1" ht="8.25" x14ac:dyDescent="0.15"/>
    <row r="82" s="18" customFormat="1" ht="8.25" x14ac:dyDescent="0.15"/>
    <row r="83" s="18" customFormat="1" ht="8.25" x14ac:dyDescent="0.15"/>
    <row r="84" s="18" customFormat="1" ht="8.25" x14ac:dyDescent="0.15"/>
    <row r="85" s="18" customFormat="1" ht="8.25" x14ac:dyDescent="0.15"/>
    <row r="86" s="18" customFormat="1" ht="8.25" x14ac:dyDescent="0.15"/>
    <row r="87" s="18" customFormat="1" ht="8.25" x14ac:dyDescent="0.15"/>
    <row r="88" s="18" customFormat="1" ht="8.25" x14ac:dyDescent="0.15"/>
    <row r="89" s="18" customFormat="1" ht="8.25" x14ac:dyDescent="0.15"/>
    <row r="90" s="18" customFormat="1" ht="8.25" x14ac:dyDescent="0.15"/>
    <row r="91" s="18" customFormat="1" ht="8.25" x14ac:dyDescent="0.15"/>
    <row r="92" s="18" customFormat="1" ht="8.25" x14ac:dyDescent="0.15"/>
    <row r="93" s="18" customFormat="1" ht="8.25" x14ac:dyDescent="0.15"/>
    <row r="94" s="18" customFormat="1" ht="8.25" x14ac:dyDescent="0.15"/>
    <row r="95" s="18" customFormat="1" ht="8.25" x14ac:dyDescent="0.15"/>
    <row r="96" s="18" customFormat="1" ht="8.25" x14ac:dyDescent="0.15"/>
    <row r="97" spans="13:14" s="18" customFormat="1" ht="8.25" x14ac:dyDescent="0.15"/>
    <row r="98" spans="13:14" s="18" customFormat="1" ht="8.25" x14ac:dyDescent="0.15">
      <c r="M98" s="17"/>
      <c r="N98" s="17"/>
    </row>
    <row r="99" spans="13:14" s="18" customFormat="1" ht="8.25" x14ac:dyDescent="0.15">
      <c r="M99" s="17"/>
      <c r="N99" s="17"/>
    </row>
    <row r="100" spans="13:14" s="18" customFormat="1" ht="8.25" x14ac:dyDescent="0.15">
      <c r="M100" s="17"/>
      <c r="N100" s="17"/>
    </row>
    <row r="101" spans="13:14" s="18" customFormat="1" ht="8.25" x14ac:dyDescent="0.15">
      <c r="M101" s="17"/>
      <c r="N101" s="17"/>
    </row>
    <row r="102" spans="13:14" s="18" customFormat="1" ht="8.25" x14ac:dyDescent="0.15">
      <c r="M102" s="17"/>
      <c r="N102" s="17"/>
    </row>
    <row r="103" spans="13:14" s="18" customFormat="1" ht="8.25" x14ac:dyDescent="0.15">
      <c r="M103" s="17"/>
      <c r="N103" s="17"/>
    </row>
    <row r="104" spans="13:14" s="18" customFormat="1" ht="8.25" x14ac:dyDescent="0.15">
      <c r="M104" s="17"/>
      <c r="N104" s="17"/>
    </row>
    <row r="105" spans="13:14" s="18" customFormat="1" ht="8.25" x14ac:dyDescent="0.15">
      <c r="M105" s="17"/>
      <c r="N105" s="17"/>
    </row>
    <row r="106" spans="13:14" s="18" customFormat="1" ht="8.25" x14ac:dyDescent="0.15">
      <c r="M106" s="17"/>
      <c r="N106" s="17"/>
    </row>
    <row r="107" spans="13:14" s="18" customFormat="1" ht="8.25" x14ac:dyDescent="0.15">
      <c r="M107" s="17"/>
      <c r="N107" s="17"/>
    </row>
    <row r="108" spans="13:14" s="18" customFormat="1" ht="8.25" x14ac:dyDescent="0.15">
      <c r="M108" s="17"/>
      <c r="N108" s="17"/>
    </row>
    <row r="109" spans="13:14" s="18" customFormat="1" ht="8.25" x14ac:dyDescent="0.15">
      <c r="M109" s="17"/>
      <c r="N109" s="17"/>
    </row>
    <row r="110" spans="13:14" s="18" customFormat="1" ht="8.25" x14ac:dyDescent="0.15">
      <c r="M110" s="17"/>
      <c r="N110" s="17"/>
    </row>
    <row r="111" spans="13:14" s="18" customFormat="1" ht="8.25" x14ac:dyDescent="0.15">
      <c r="M111" s="17"/>
      <c r="N111" s="17"/>
    </row>
    <row r="112" spans="13:14" s="18" customFormat="1" ht="8.25" x14ac:dyDescent="0.15">
      <c r="M112" s="17"/>
      <c r="N112" s="17"/>
    </row>
    <row r="113" spans="13:14" s="18" customFormat="1" ht="8.25" x14ac:dyDescent="0.15">
      <c r="M113" s="17"/>
      <c r="N113" s="17"/>
    </row>
    <row r="114" spans="13:14" s="18" customFormat="1" ht="8.25" x14ac:dyDescent="0.15">
      <c r="M114" s="17"/>
      <c r="N114" s="17"/>
    </row>
    <row r="115" spans="13:14" s="18" customFormat="1" ht="8.25" x14ac:dyDescent="0.15">
      <c r="M115" s="17"/>
      <c r="N115" s="17"/>
    </row>
    <row r="116" spans="13:14" s="18" customFormat="1" ht="8.25" x14ac:dyDescent="0.15">
      <c r="M116" s="17"/>
      <c r="N116" s="17"/>
    </row>
    <row r="117" spans="13:14" s="18" customFormat="1" ht="8.25" x14ac:dyDescent="0.15">
      <c r="M117" s="17"/>
      <c r="N117" s="17"/>
    </row>
    <row r="118" spans="13:14" s="18" customFormat="1" ht="8.25" x14ac:dyDescent="0.15">
      <c r="M118" s="17"/>
      <c r="N118" s="17"/>
    </row>
    <row r="119" spans="13:14" s="18" customFormat="1" ht="8.25" x14ac:dyDescent="0.15">
      <c r="M119" s="17"/>
      <c r="N119" s="17"/>
    </row>
    <row r="120" spans="13:14" s="18" customFormat="1" ht="8.25" x14ac:dyDescent="0.15">
      <c r="M120" s="17"/>
      <c r="N120" s="17"/>
    </row>
    <row r="121" spans="13:14" s="18" customFormat="1" ht="8.25" x14ac:dyDescent="0.15">
      <c r="M121" s="17"/>
      <c r="N121" s="17"/>
    </row>
    <row r="122" spans="13:14" s="18" customFormat="1" ht="8.25" x14ac:dyDescent="0.15">
      <c r="M122" s="17"/>
      <c r="N122" s="17"/>
    </row>
    <row r="123" spans="13:14" s="18" customFormat="1" ht="8.25" x14ac:dyDescent="0.15">
      <c r="M123" s="17"/>
      <c r="N123" s="17"/>
    </row>
    <row r="124" spans="13:14" s="18" customFormat="1" ht="8.25" x14ac:dyDescent="0.15">
      <c r="M124" s="17"/>
      <c r="N124" s="17"/>
    </row>
    <row r="125" spans="13:14" s="18" customFormat="1" ht="8.25" x14ac:dyDescent="0.15">
      <c r="M125" s="17"/>
      <c r="N125" s="17"/>
    </row>
    <row r="126" spans="13:14" s="18" customFormat="1" ht="8.25" x14ac:dyDescent="0.15">
      <c r="M126" s="17"/>
      <c r="N126" s="17"/>
    </row>
    <row r="127" spans="13:14" s="18" customFormat="1" ht="8.25" x14ac:dyDescent="0.15">
      <c r="M127" s="17"/>
      <c r="N127" s="17"/>
    </row>
    <row r="128" spans="13:14" s="18" customFormat="1" ht="8.25" x14ac:dyDescent="0.15">
      <c r="M128" s="17"/>
      <c r="N128" s="17"/>
    </row>
    <row r="129" spans="13:14" s="18" customFormat="1" ht="8.25" x14ac:dyDescent="0.15">
      <c r="M129" s="17"/>
      <c r="N129" s="17"/>
    </row>
    <row r="130" spans="13:14" s="18" customFormat="1" ht="8.25" x14ac:dyDescent="0.15">
      <c r="M130" s="17"/>
      <c r="N130" s="17"/>
    </row>
    <row r="131" spans="13:14" s="18" customFormat="1" ht="8.25" x14ac:dyDescent="0.15">
      <c r="M131" s="17"/>
      <c r="N131" s="17"/>
    </row>
    <row r="132" spans="13:14" s="18" customFormat="1" ht="8.25" x14ac:dyDescent="0.15">
      <c r="M132" s="17"/>
      <c r="N132" s="17"/>
    </row>
    <row r="133" spans="13:14" s="18" customFormat="1" ht="8.25" x14ac:dyDescent="0.15">
      <c r="M133" s="17"/>
      <c r="N133" s="17"/>
    </row>
    <row r="134" spans="13:14" s="18" customFormat="1" ht="8.25" x14ac:dyDescent="0.15">
      <c r="M134" s="17"/>
      <c r="N134" s="17"/>
    </row>
    <row r="135" spans="13:14" s="18" customFormat="1" ht="8.25" x14ac:dyDescent="0.15">
      <c r="M135" s="17"/>
      <c r="N135" s="17"/>
    </row>
    <row r="136" spans="13:14" s="18" customFormat="1" ht="8.25" x14ac:dyDescent="0.15">
      <c r="M136" s="17"/>
      <c r="N136" s="17"/>
    </row>
    <row r="137" spans="13:14" s="18" customFormat="1" ht="8.25" x14ac:dyDescent="0.15">
      <c r="M137" s="17"/>
      <c r="N137" s="17"/>
    </row>
    <row r="138" spans="13:14" s="18" customFormat="1" ht="8.25" x14ac:dyDescent="0.15">
      <c r="M138" s="17"/>
      <c r="N138" s="17"/>
    </row>
    <row r="139" spans="13:14" s="18" customFormat="1" ht="8.25" x14ac:dyDescent="0.15">
      <c r="M139" s="17"/>
      <c r="N139" s="17"/>
    </row>
    <row r="140" spans="13:14" s="18" customFormat="1" ht="8.25" x14ac:dyDescent="0.15">
      <c r="M140" s="17"/>
      <c r="N140" s="17"/>
    </row>
    <row r="141" spans="13:14" s="18" customFormat="1" ht="8.25" x14ac:dyDescent="0.15">
      <c r="M141" s="17"/>
      <c r="N141" s="17"/>
    </row>
    <row r="142" spans="13:14" s="18" customFormat="1" ht="8.25" x14ac:dyDescent="0.15">
      <c r="M142" s="17"/>
      <c r="N142" s="17"/>
    </row>
    <row r="143" spans="13:14" s="18" customFormat="1" ht="8.25" x14ac:dyDescent="0.15">
      <c r="M143" s="17"/>
      <c r="N143" s="17"/>
    </row>
    <row r="144" spans="13:14" s="18" customFormat="1" ht="8.25" x14ac:dyDescent="0.15">
      <c r="M144" s="17"/>
      <c r="N144" s="17"/>
    </row>
    <row r="145" spans="13:21" s="18" customFormat="1" ht="8.25" x14ac:dyDescent="0.15">
      <c r="M145" s="118"/>
      <c r="N145" s="17"/>
      <c r="T145" s="18">
        <v>50</v>
      </c>
    </row>
    <row r="146" spans="13:21" s="18" customFormat="1" ht="8.25" x14ac:dyDescent="0.15">
      <c r="M146" s="17"/>
      <c r="N146" s="17"/>
      <c r="S146" s="119"/>
      <c r="T146" s="18">
        <v>79</v>
      </c>
      <c r="U146" s="18">
        <f>50/(79/2)</f>
        <v>1.2658227848101267</v>
      </c>
    </row>
    <row r="147" spans="13:21" s="18" customFormat="1" ht="8.25" x14ac:dyDescent="0.15">
      <c r="M147" s="17"/>
      <c r="N147" s="17"/>
      <c r="T147" s="18">
        <v>100</v>
      </c>
    </row>
    <row r="148" spans="13:21" s="18" customFormat="1" ht="8.25" x14ac:dyDescent="0.15">
      <c r="M148" s="17"/>
      <c r="N148" s="17"/>
    </row>
    <row r="149" spans="13:21" s="18" customFormat="1" ht="8.25" x14ac:dyDescent="0.15">
      <c r="M149" s="17"/>
      <c r="N149" s="17"/>
    </row>
    <row r="150" spans="13:21" s="18" customFormat="1" ht="8.25" x14ac:dyDescent="0.15">
      <c r="M150" s="17"/>
      <c r="N150" s="17"/>
    </row>
    <row r="151" spans="13:21" s="18" customFormat="1" ht="8.25" x14ac:dyDescent="0.15">
      <c r="M151" s="17"/>
      <c r="N151" s="17"/>
    </row>
    <row r="152" spans="13:21" s="18" customFormat="1" ht="8.25" x14ac:dyDescent="0.15">
      <c r="M152" s="17"/>
      <c r="N152" s="17"/>
    </row>
    <row r="153" spans="13:21" s="18" customFormat="1" ht="8.25" x14ac:dyDescent="0.15">
      <c r="M153" s="17"/>
      <c r="N153" s="17"/>
    </row>
    <row r="154" spans="13:21" s="18" customFormat="1" ht="8.25" x14ac:dyDescent="0.15">
      <c r="M154" s="17"/>
      <c r="N154" s="17"/>
    </row>
    <row r="155" spans="13:21" s="18" customFormat="1" ht="8.25" x14ac:dyDescent="0.15">
      <c r="M155" s="17"/>
      <c r="N155" s="17"/>
    </row>
    <row r="156" spans="13:21" s="18" customFormat="1" ht="8.25" x14ac:dyDescent="0.15">
      <c r="M156" s="17"/>
      <c r="N156" s="17"/>
    </row>
    <row r="157" spans="13:21" s="18" customFormat="1" ht="8.25" x14ac:dyDescent="0.15">
      <c r="M157" s="17"/>
      <c r="N157" s="17"/>
    </row>
    <row r="158" spans="13:21" s="18" customFormat="1" ht="8.25" x14ac:dyDescent="0.15">
      <c r="M158" s="17"/>
      <c r="N158" s="17"/>
    </row>
    <row r="159" spans="13:21" s="18" customFormat="1" ht="8.25" x14ac:dyDescent="0.15">
      <c r="M159" s="17"/>
      <c r="N159" s="17"/>
    </row>
    <row r="160" spans="13:21" s="18" customFormat="1" ht="8.25" x14ac:dyDescent="0.15">
      <c r="M160" s="17"/>
      <c r="N160" s="17"/>
    </row>
    <row r="161" spans="13:14" s="18" customFormat="1" ht="8.25" x14ac:dyDescent="0.15">
      <c r="M161" s="17"/>
      <c r="N161" s="17"/>
    </row>
    <row r="162" spans="13:14" s="18" customFormat="1" ht="8.25" x14ac:dyDescent="0.15">
      <c r="M162" s="17"/>
      <c r="N162" s="17"/>
    </row>
    <row r="163" spans="13:14" s="18" customFormat="1" ht="8.25" x14ac:dyDescent="0.15">
      <c r="M163" s="17"/>
      <c r="N163" s="17"/>
    </row>
    <row r="164" spans="13:14" s="18" customFormat="1" ht="8.25" x14ac:dyDescent="0.15">
      <c r="M164" s="17"/>
      <c r="N164" s="17"/>
    </row>
    <row r="165" spans="13:14" s="18" customFormat="1" ht="8.25" x14ac:dyDescent="0.15">
      <c r="M165" s="17"/>
      <c r="N165" s="17"/>
    </row>
    <row r="166" spans="13:14" s="18" customFormat="1" ht="8.25" x14ac:dyDescent="0.15">
      <c r="M166" s="17"/>
      <c r="N166" s="17"/>
    </row>
    <row r="167" spans="13:14" s="18" customFormat="1" ht="8.25" x14ac:dyDescent="0.15">
      <c r="M167" s="17"/>
      <c r="N167" s="17"/>
    </row>
    <row r="168" spans="13:14" s="18" customFormat="1" ht="8.25" x14ac:dyDescent="0.15">
      <c r="M168" s="17"/>
      <c r="N168" s="17"/>
    </row>
    <row r="169" spans="13:14" s="18" customFormat="1" ht="8.25" x14ac:dyDescent="0.15">
      <c r="M169" s="17"/>
      <c r="N169" s="17"/>
    </row>
    <row r="170" spans="13:14" s="18" customFormat="1" ht="8.25" x14ac:dyDescent="0.15">
      <c r="M170" s="17"/>
      <c r="N170" s="17"/>
    </row>
    <row r="171" spans="13:14" s="18" customFormat="1" ht="8.25" x14ac:dyDescent="0.15">
      <c r="M171" s="17"/>
      <c r="N171" s="17"/>
    </row>
    <row r="172" spans="13:14" s="18" customFormat="1" ht="8.25" x14ac:dyDescent="0.15">
      <c r="M172" s="17"/>
      <c r="N172" s="17"/>
    </row>
    <row r="173" spans="13:14" s="18" customFormat="1" ht="8.25" x14ac:dyDescent="0.15">
      <c r="M173" s="17"/>
      <c r="N173" s="17"/>
    </row>
    <row r="174" spans="13:14" s="18" customFormat="1" ht="8.25" x14ac:dyDescent="0.15">
      <c r="M174" s="17"/>
      <c r="N174" s="17"/>
    </row>
    <row r="175" spans="13:14" s="18" customFormat="1" ht="8.25" x14ac:dyDescent="0.15">
      <c r="M175" s="17"/>
      <c r="N175" s="17"/>
    </row>
    <row r="176" spans="13:14" s="18" customFormat="1" ht="8.25" x14ac:dyDescent="0.15">
      <c r="M176" s="17"/>
      <c r="N176" s="17"/>
    </row>
    <row r="177" spans="13:14" s="18" customFormat="1" ht="8.25" x14ac:dyDescent="0.15">
      <c r="M177" s="17"/>
      <c r="N177" s="17"/>
    </row>
    <row r="178" spans="13:14" s="18" customFormat="1" ht="8.25" x14ac:dyDescent="0.15">
      <c r="M178" s="17"/>
      <c r="N178" s="17"/>
    </row>
    <row r="179" spans="13:14" s="18" customFormat="1" ht="8.25" x14ac:dyDescent="0.15">
      <c r="M179" s="17"/>
      <c r="N179" s="17"/>
    </row>
    <row r="180" spans="13:14" s="18" customFormat="1" ht="8.25" x14ac:dyDescent="0.15">
      <c r="M180" s="17"/>
      <c r="N180" s="17"/>
    </row>
    <row r="181" spans="13:14" s="18" customFormat="1" ht="8.25" x14ac:dyDescent="0.15">
      <c r="M181" s="17"/>
      <c r="N181" s="17"/>
    </row>
    <row r="182" spans="13:14" s="18" customFormat="1" ht="8.25" x14ac:dyDescent="0.15">
      <c r="M182" s="17"/>
      <c r="N182" s="17"/>
    </row>
    <row r="183" spans="13:14" s="18" customFormat="1" ht="8.25" x14ac:dyDescent="0.15">
      <c r="M183" s="17"/>
      <c r="N183" s="17"/>
    </row>
    <row r="184" spans="13:14" s="18" customFormat="1" ht="8.25" x14ac:dyDescent="0.15">
      <c r="M184" s="17"/>
      <c r="N184" s="17"/>
    </row>
    <row r="185" spans="13:14" s="18" customFormat="1" ht="8.25" x14ac:dyDescent="0.15">
      <c r="M185" s="17"/>
      <c r="N185" s="17"/>
    </row>
    <row r="186" spans="13:14" s="18" customFormat="1" ht="8.25" x14ac:dyDescent="0.15">
      <c r="M186" s="17"/>
      <c r="N186" s="17"/>
    </row>
    <row r="187" spans="13:14" s="18" customFormat="1" ht="8.25" x14ac:dyDescent="0.15">
      <c r="M187" s="17"/>
      <c r="N187" s="17"/>
    </row>
    <row r="188" spans="13:14" s="18" customFormat="1" ht="8.25" x14ac:dyDescent="0.15">
      <c r="M188" s="17"/>
      <c r="N188" s="17"/>
    </row>
    <row r="189" spans="13:14" s="18" customFormat="1" ht="8.25" x14ac:dyDescent="0.15">
      <c r="M189" s="17"/>
      <c r="N189" s="17"/>
    </row>
    <row r="190" spans="13:14" s="18" customFormat="1" ht="8.25" x14ac:dyDescent="0.15">
      <c r="M190" s="17"/>
      <c r="N190" s="17"/>
    </row>
    <row r="191" spans="13:14" s="18" customFormat="1" ht="8.25" x14ac:dyDescent="0.15">
      <c r="M191" s="17"/>
      <c r="N191" s="17"/>
    </row>
    <row r="192" spans="13:14" s="18" customFormat="1" ht="8.25" x14ac:dyDescent="0.15">
      <c r="M192" s="17"/>
      <c r="N192" s="17"/>
    </row>
    <row r="193" spans="13:14" s="18" customFormat="1" ht="8.25" x14ac:dyDescent="0.15">
      <c r="M193" s="17"/>
      <c r="N193" s="17"/>
    </row>
    <row r="194" spans="13:14" s="18" customFormat="1" ht="8.25" x14ac:dyDescent="0.15">
      <c r="M194" s="17"/>
      <c r="N194" s="17"/>
    </row>
    <row r="195" spans="13:14" s="18" customFormat="1" ht="8.25" x14ac:dyDescent="0.15">
      <c r="M195" s="17"/>
      <c r="N195" s="17"/>
    </row>
    <row r="196" spans="13:14" s="18" customFormat="1" ht="8.25" x14ac:dyDescent="0.15">
      <c r="M196" s="17"/>
      <c r="N196" s="17"/>
    </row>
    <row r="197" spans="13:14" s="18" customFormat="1" ht="8.25" x14ac:dyDescent="0.15">
      <c r="M197" s="17"/>
      <c r="N197" s="17"/>
    </row>
    <row r="198" spans="13:14" s="18" customFormat="1" ht="8.25" x14ac:dyDescent="0.15">
      <c r="M198" s="17"/>
      <c r="N198" s="17"/>
    </row>
    <row r="199" spans="13:14" s="18" customFormat="1" ht="8.25" x14ac:dyDescent="0.15">
      <c r="M199" s="17"/>
      <c r="N199" s="17"/>
    </row>
    <row r="200" spans="13:14" s="18" customFormat="1" ht="8.25" x14ac:dyDescent="0.15">
      <c r="M200" s="17"/>
      <c r="N200" s="17"/>
    </row>
    <row r="201" spans="13:14" s="18" customFormat="1" ht="8.25" x14ac:dyDescent="0.15">
      <c r="M201" s="17"/>
      <c r="N201" s="17"/>
    </row>
    <row r="202" spans="13:14" s="18" customFormat="1" ht="8.25" x14ac:dyDescent="0.15">
      <c r="M202" s="17"/>
      <c r="N202" s="17"/>
    </row>
    <row r="203" spans="13:14" s="18" customFormat="1" ht="8.25" x14ac:dyDescent="0.15">
      <c r="M203" s="17"/>
      <c r="N203" s="17"/>
    </row>
    <row r="204" spans="13:14" s="18" customFormat="1" ht="8.25" x14ac:dyDescent="0.15">
      <c r="M204" s="17"/>
      <c r="N204" s="17"/>
    </row>
    <row r="205" spans="13:14" s="18" customFormat="1" ht="8.25" x14ac:dyDescent="0.15">
      <c r="M205" s="17"/>
      <c r="N205" s="17"/>
    </row>
    <row r="206" spans="13:14" s="18" customFormat="1" ht="8.25" x14ac:dyDescent="0.15">
      <c r="M206" s="17"/>
      <c r="N206" s="17"/>
    </row>
    <row r="207" spans="13:14" s="18" customFormat="1" ht="8.25" x14ac:dyDescent="0.15">
      <c r="M207" s="17"/>
      <c r="N207" s="17"/>
    </row>
    <row r="208" spans="13:14" s="18" customFormat="1" ht="8.25" x14ac:dyDescent="0.15">
      <c r="M208" s="17"/>
      <c r="N208" s="17"/>
    </row>
    <row r="209" spans="13:14" s="18" customFormat="1" ht="8.25" x14ac:dyDescent="0.15">
      <c r="M209" s="17"/>
      <c r="N209" s="17"/>
    </row>
    <row r="210" spans="13:14" s="18" customFormat="1" ht="8.25" x14ac:dyDescent="0.15">
      <c r="M210" s="17"/>
      <c r="N210" s="17"/>
    </row>
    <row r="211" spans="13:14" s="18" customFormat="1" ht="8.25" x14ac:dyDescent="0.15">
      <c r="M211" s="17"/>
      <c r="N211" s="17"/>
    </row>
    <row r="212" spans="13:14" s="18" customFormat="1" ht="8.25" x14ac:dyDescent="0.15">
      <c r="M212" s="17"/>
      <c r="N212" s="17"/>
    </row>
    <row r="213" spans="13:14" s="18" customFormat="1" ht="8.25" x14ac:dyDescent="0.15">
      <c r="M213" s="17"/>
      <c r="N213" s="17"/>
    </row>
    <row r="214" spans="13:14" s="18" customFormat="1" ht="8.25" x14ac:dyDescent="0.15">
      <c r="M214" s="17"/>
      <c r="N214" s="17"/>
    </row>
    <row r="215" spans="13:14" s="18" customFormat="1" ht="8.25" x14ac:dyDescent="0.15">
      <c r="M215" s="17"/>
      <c r="N215" s="17"/>
    </row>
    <row r="216" spans="13:14" s="18" customFormat="1" ht="8.25" x14ac:dyDescent="0.15">
      <c r="M216" s="17"/>
      <c r="N216" s="17"/>
    </row>
    <row r="217" spans="13:14" s="18" customFormat="1" ht="8.25" x14ac:dyDescent="0.15">
      <c r="M217" s="17"/>
      <c r="N217" s="17"/>
    </row>
    <row r="218" spans="13:14" s="18" customFormat="1" ht="8.25" x14ac:dyDescent="0.15">
      <c r="M218" s="17"/>
      <c r="N218" s="17"/>
    </row>
    <row r="219" spans="13:14" s="18" customFormat="1" ht="8.25" x14ac:dyDescent="0.15">
      <c r="M219" s="17"/>
      <c r="N219" s="17"/>
    </row>
    <row r="220" spans="13:14" s="18" customFormat="1" ht="8.25" x14ac:dyDescent="0.15">
      <c r="M220" s="17"/>
      <c r="N220" s="17"/>
    </row>
    <row r="221" spans="13:14" s="18" customFormat="1" ht="8.25" x14ac:dyDescent="0.15">
      <c r="M221" s="17"/>
      <c r="N221" s="17"/>
    </row>
    <row r="222" spans="13:14" s="18" customFormat="1" ht="8.25" x14ac:dyDescent="0.15">
      <c r="M222" s="17"/>
      <c r="N222" s="17"/>
    </row>
    <row r="223" spans="13:14" s="18" customFormat="1" ht="8.25" x14ac:dyDescent="0.15">
      <c r="M223" s="17"/>
      <c r="N223" s="17"/>
    </row>
    <row r="224" spans="13:14" s="18" customFormat="1" ht="8.25" x14ac:dyDescent="0.15">
      <c r="M224" s="17"/>
      <c r="N224" s="17"/>
    </row>
    <row r="225" spans="13:14" s="18" customFormat="1" ht="8.25" x14ac:dyDescent="0.15">
      <c r="M225" s="17"/>
      <c r="N225" s="17"/>
    </row>
    <row r="226" spans="13:14" s="18" customFormat="1" ht="8.25" x14ac:dyDescent="0.15">
      <c r="M226" s="17"/>
      <c r="N226" s="17"/>
    </row>
    <row r="227" spans="13:14" s="18" customFormat="1" ht="8.25" x14ac:dyDescent="0.15">
      <c r="M227" s="17"/>
      <c r="N227" s="17"/>
    </row>
    <row r="228" spans="13:14" s="18" customFormat="1" ht="8.25" x14ac:dyDescent="0.15">
      <c r="M228" s="17"/>
      <c r="N228" s="17"/>
    </row>
    <row r="229" spans="13:14" s="18" customFormat="1" ht="8.25" x14ac:dyDescent="0.15">
      <c r="M229" s="17"/>
      <c r="N229" s="17"/>
    </row>
    <row r="230" spans="13:14" s="18" customFormat="1" ht="8.25" x14ac:dyDescent="0.15">
      <c r="M230" s="17"/>
      <c r="N230" s="17"/>
    </row>
    <row r="231" spans="13:14" s="18" customFormat="1" ht="8.25" x14ac:dyDescent="0.15">
      <c r="M231" s="17"/>
      <c r="N231" s="17"/>
    </row>
    <row r="232" spans="13:14" s="18" customFormat="1" ht="8.25" x14ac:dyDescent="0.15">
      <c r="M232" s="17"/>
      <c r="N232" s="17"/>
    </row>
    <row r="233" spans="13:14" s="18" customFormat="1" ht="8.25" x14ac:dyDescent="0.15">
      <c r="M233" s="17"/>
      <c r="N233" s="17"/>
    </row>
    <row r="234" spans="13:14" s="18" customFormat="1" ht="8.25" x14ac:dyDescent="0.15">
      <c r="M234" s="17"/>
      <c r="N234" s="17"/>
    </row>
    <row r="235" spans="13:14" s="18" customFormat="1" ht="8.25" x14ac:dyDescent="0.15">
      <c r="M235" s="17"/>
      <c r="N235" s="17"/>
    </row>
    <row r="236" spans="13:14" s="18" customFormat="1" ht="8.25" x14ac:dyDescent="0.15">
      <c r="M236" s="17"/>
      <c r="N236" s="17"/>
    </row>
    <row r="237" spans="13:14" s="18" customFormat="1" ht="8.25" x14ac:dyDescent="0.15">
      <c r="M237" s="17"/>
      <c r="N237" s="17"/>
    </row>
    <row r="238" spans="13:14" s="18" customFormat="1" ht="8.25" x14ac:dyDescent="0.15">
      <c r="M238" s="17"/>
      <c r="N238" s="17"/>
    </row>
    <row r="239" spans="13:14" s="18" customFormat="1" ht="8.25" x14ac:dyDescent="0.15">
      <c r="M239" s="17"/>
      <c r="N239" s="17"/>
    </row>
    <row r="240" spans="13:14" s="18" customFormat="1" ht="8.25" x14ac:dyDescent="0.15">
      <c r="M240" s="17"/>
      <c r="N240" s="17"/>
    </row>
    <row r="241" spans="13:14" s="18" customFormat="1" ht="8.25" x14ac:dyDescent="0.15">
      <c r="M241" s="17"/>
      <c r="N241" s="17"/>
    </row>
    <row r="242" spans="13:14" s="18" customFormat="1" ht="8.25" x14ac:dyDescent="0.15">
      <c r="M242" s="17"/>
      <c r="N242" s="17"/>
    </row>
    <row r="243" spans="13:14" s="18" customFormat="1" ht="8.25" x14ac:dyDescent="0.15">
      <c r="M243" s="17"/>
      <c r="N243" s="17"/>
    </row>
    <row r="244" spans="13:14" s="18" customFormat="1" ht="8.25" x14ac:dyDescent="0.15">
      <c r="M244" s="17"/>
      <c r="N244" s="17"/>
    </row>
    <row r="245" spans="13:14" s="18" customFormat="1" ht="8.25" x14ac:dyDescent="0.15">
      <c r="M245" s="17"/>
      <c r="N245" s="17"/>
    </row>
    <row r="246" spans="13:14" s="18" customFormat="1" ht="8.25" x14ac:dyDescent="0.15">
      <c r="M246" s="17"/>
      <c r="N246" s="17"/>
    </row>
    <row r="247" spans="13:14" s="18" customFormat="1" ht="8.25" x14ac:dyDescent="0.15">
      <c r="M247" s="17"/>
      <c r="N247" s="17"/>
    </row>
    <row r="248" spans="13:14" s="18" customFormat="1" ht="8.25" x14ac:dyDescent="0.15">
      <c r="M248" s="17"/>
      <c r="N248" s="17"/>
    </row>
    <row r="249" spans="13:14" s="18" customFormat="1" ht="8.25" x14ac:dyDescent="0.15">
      <c r="M249" s="17"/>
      <c r="N249" s="17"/>
    </row>
    <row r="250" spans="13:14" s="18" customFormat="1" ht="8.25" x14ac:dyDescent="0.15">
      <c r="M250" s="17"/>
      <c r="N250" s="17"/>
    </row>
    <row r="251" spans="13:14" s="18" customFormat="1" ht="8.25" x14ac:dyDescent="0.15">
      <c r="M251" s="17"/>
      <c r="N251" s="17"/>
    </row>
    <row r="252" spans="13:14" s="18" customFormat="1" ht="8.25" x14ac:dyDescent="0.15">
      <c r="M252" s="17"/>
      <c r="N252" s="17"/>
    </row>
    <row r="253" spans="13:14" s="18" customFormat="1" ht="8.25" x14ac:dyDescent="0.15">
      <c r="M253" s="17"/>
      <c r="N253" s="17"/>
    </row>
    <row r="254" spans="13:14" s="18" customFormat="1" ht="8.25" x14ac:dyDescent="0.15">
      <c r="M254" s="17"/>
      <c r="N254" s="17"/>
    </row>
    <row r="255" spans="13:14" s="18" customFormat="1" ht="8.25" x14ac:dyDescent="0.15">
      <c r="M255" s="17"/>
      <c r="N255" s="17"/>
    </row>
    <row r="256" spans="13:14" s="18" customFormat="1" ht="8.25" x14ac:dyDescent="0.15">
      <c r="M256" s="17"/>
      <c r="N256" s="17"/>
    </row>
    <row r="257" spans="13:14" s="18" customFormat="1" ht="8.25" x14ac:dyDescent="0.15">
      <c r="M257" s="17"/>
      <c r="N257" s="17"/>
    </row>
    <row r="258" spans="13:14" s="18" customFormat="1" ht="8.25" x14ac:dyDescent="0.15">
      <c r="M258" s="17"/>
      <c r="N258" s="17"/>
    </row>
    <row r="259" spans="13:14" s="18" customFormat="1" ht="8.25" x14ac:dyDescent="0.15">
      <c r="M259" s="17"/>
      <c r="N259" s="17"/>
    </row>
    <row r="260" spans="13:14" s="18" customFormat="1" ht="8.25" x14ac:dyDescent="0.15">
      <c r="M260" s="17"/>
      <c r="N260" s="17"/>
    </row>
    <row r="261" spans="13:14" s="18" customFormat="1" ht="8.25" x14ac:dyDescent="0.15">
      <c r="M261" s="17"/>
      <c r="N261" s="17"/>
    </row>
    <row r="262" spans="13:14" s="18" customFormat="1" ht="8.25" x14ac:dyDescent="0.15">
      <c r="M262" s="17"/>
      <c r="N262" s="17"/>
    </row>
    <row r="263" spans="13:14" s="18" customFormat="1" ht="8.25" x14ac:dyDescent="0.15">
      <c r="M263" s="17"/>
      <c r="N263" s="17"/>
    </row>
    <row r="264" spans="13:14" s="18" customFormat="1" ht="8.25" x14ac:dyDescent="0.15">
      <c r="M264" s="17"/>
      <c r="N264" s="17"/>
    </row>
    <row r="265" spans="13:14" s="18" customFormat="1" ht="8.25" x14ac:dyDescent="0.15">
      <c r="M265" s="17"/>
      <c r="N265" s="17"/>
    </row>
    <row r="266" spans="13:14" s="18" customFormat="1" ht="8.25" x14ac:dyDescent="0.15">
      <c r="M266" s="17"/>
      <c r="N266" s="17"/>
    </row>
    <row r="267" spans="13:14" s="18" customFormat="1" ht="8.25" x14ac:dyDescent="0.15">
      <c r="M267" s="17"/>
      <c r="N267" s="17"/>
    </row>
    <row r="268" spans="13:14" s="18" customFormat="1" ht="8.25" x14ac:dyDescent="0.15">
      <c r="M268" s="17"/>
      <c r="N268" s="17"/>
    </row>
    <row r="269" spans="13:14" s="18" customFormat="1" ht="8.25" x14ac:dyDescent="0.15">
      <c r="M269" s="17"/>
      <c r="N269" s="17"/>
    </row>
    <row r="270" spans="13:14" s="18" customFormat="1" ht="8.25" x14ac:dyDescent="0.15">
      <c r="M270" s="17"/>
      <c r="N270" s="17"/>
    </row>
    <row r="271" spans="13:14" s="18" customFormat="1" ht="8.25" x14ac:dyDescent="0.15">
      <c r="M271" s="17"/>
      <c r="N271" s="17"/>
    </row>
    <row r="272" spans="13:14" s="18" customFormat="1" ht="8.25" x14ac:dyDescent="0.15">
      <c r="M272" s="17"/>
      <c r="N272" s="17"/>
    </row>
    <row r="273" spans="13:14" s="18" customFormat="1" ht="8.25" x14ac:dyDescent="0.15">
      <c r="M273" s="17"/>
      <c r="N273" s="17"/>
    </row>
    <row r="274" spans="13:14" s="18" customFormat="1" ht="8.25" x14ac:dyDescent="0.15">
      <c r="M274" s="17"/>
      <c r="N274" s="17"/>
    </row>
    <row r="275" spans="13:14" s="18" customFormat="1" ht="8.25" x14ac:dyDescent="0.15">
      <c r="M275" s="17"/>
      <c r="N275" s="17"/>
    </row>
    <row r="276" spans="13:14" s="18" customFormat="1" ht="8.25" x14ac:dyDescent="0.15">
      <c r="M276" s="17"/>
      <c r="N276" s="17"/>
    </row>
    <row r="277" spans="13:14" s="18" customFormat="1" ht="8.25" x14ac:dyDescent="0.15">
      <c r="M277" s="17"/>
      <c r="N277" s="17"/>
    </row>
    <row r="278" spans="13:14" s="18" customFormat="1" ht="8.25" x14ac:dyDescent="0.15">
      <c r="M278" s="17"/>
      <c r="N278" s="17"/>
    </row>
    <row r="279" spans="13:14" s="18" customFormat="1" ht="8.25" x14ac:dyDescent="0.15">
      <c r="M279" s="17"/>
      <c r="N279" s="17"/>
    </row>
    <row r="280" spans="13:14" s="18" customFormat="1" ht="8.25" x14ac:dyDescent="0.15">
      <c r="M280" s="17"/>
      <c r="N280" s="17"/>
    </row>
    <row r="281" spans="13:14" s="18" customFormat="1" ht="8.25" x14ac:dyDescent="0.15">
      <c r="M281" s="17"/>
      <c r="N281" s="17"/>
    </row>
    <row r="282" spans="13:14" s="18" customFormat="1" ht="8.25" x14ac:dyDescent="0.15">
      <c r="M282" s="17"/>
      <c r="N282" s="17"/>
    </row>
    <row r="283" spans="13:14" s="18" customFormat="1" ht="8.25" x14ac:dyDescent="0.15">
      <c r="M283" s="17"/>
      <c r="N283" s="17"/>
    </row>
    <row r="284" spans="13:14" s="18" customFormat="1" ht="8.25" x14ac:dyDescent="0.15">
      <c r="M284" s="17"/>
      <c r="N284" s="17"/>
    </row>
    <row r="285" spans="13:14" s="18" customFormat="1" ht="8.25" x14ac:dyDescent="0.15">
      <c r="M285" s="17"/>
      <c r="N285" s="17"/>
    </row>
    <row r="286" spans="13:14" s="18" customFormat="1" ht="8.25" x14ac:dyDescent="0.15">
      <c r="M286" s="17"/>
      <c r="N286" s="17"/>
    </row>
    <row r="287" spans="13:14" s="18" customFormat="1" ht="8.25" x14ac:dyDescent="0.15">
      <c r="M287" s="17"/>
      <c r="N287" s="17"/>
    </row>
    <row r="288" spans="13:14" s="18" customFormat="1" ht="8.25" x14ac:dyDescent="0.15">
      <c r="M288" s="17"/>
      <c r="N288" s="17"/>
    </row>
    <row r="289" spans="13:14" s="18" customFormat="1" ht="8.25" x14ac:dyDescent="0.15">
      <c r="M289" s="17"/>
      <c r="N289" s="17"/>
    </row>
    <row r="290" spans="13:14" s="18" customFormat="1" ht="8.25" x14ac:dyDescent="0.15">
      <c r="M290" s="17"/>
      <c r="N290" s="17"/>
    </row>
    <row r="291" spans="13:14" s="18" customFormat="1" ht="8.25" x14ac:dyDescent="0.15">
      <c r="M291" s="17"/>
      <c r="N291" s="17"/>
    </row>
    <row r="292" spans="13:14" s="18" customFormat="1" ht="8.25" x14ac:dyDescent="0.15">
      <c r="M292" s="17"/>
      <c r="N292" s="17"/>
    </row>
    <row r="293" spans="13:14" s="18" customFormat="1" ht="8.25" x14ac:dyDescent="0.15">
      <c r="M293" s="17"/>
      <c r="N293" s="17"/>
    </row>
    <row r="294" spans="13:14" s="18" customFormat="1" ht="8.25" x14ac:dyDescent="0.15">
      <c r="M294" s="17"/>
      <c r="N294" s="17"/>
    </row>
    <row r="295" spans="13:14" s="18" customFormat="1" ht="8.25" x14ac:dyDescent="0.15">
      <c r="M295" s="17"/>
      <c r="N295" s="17"/>
    </row>
    <row r="296" spans="13:14" s="18" customFormat="1" ht="8.25" x14ac:dyDescent="0.15">
      <c r="M296" s="17"/>
      <c r="N296" s="17"/>
    </row>
    <row r="297" spans="13:14" s="18" customFormat="1" ht="8.25" x14ac:dyDescent="0.15">
      <c r="M297" s="17"/>
      <c r="N297" s="17"/>
    </row>
    <row r="298" spans="13:14" s="18" customFormat="1" ht="8.25" x14ac:dyDescent="0.15">
      <c r="M298" s="17"/>
      <c r="N298" s="17"/>
    </row>
    <row r="299" spans="13:14" s="18" customFormat="1" ht="8.25" x14ac:dyDescent="0.15">
      <c r="M299" s="17"/>
      <c r="N299" s="17"/>
    </row>
    <row r="300" spans="13:14" s="18" customFormat="1" ht="8.25" x14ac:dyDescent="0.15">
      <c r="M300" s="17"/>
      <c r="N300" s="17"/>
    </row>
    <row r="301" spans="13:14" s="18" customFormat="1" ht="8.25" x14ac:dyDescent="0.15">
      <c r="M301" s="17"/>
      <c r="N301" s="17"/>
    </row>
    <row r="302" spans="13:14" s="18" customFormat="1" ht="8.25" x14ac:dyDescent="0.15">
      <c r="M302" s="17"/>
      <c r="N302" s="17"/>
    </row>
    <row r="303" spans="13:14" s="18" customFormat="1" ht="8.25" x14ac:dyDescent="0.15">
      <c r="M303" s="17"/>
      <c r="N303" s="17"/>
    </row>
    <row r="304" spans="13:14" s="18" customFormat="1" ht="8.25" x14ac:dyDescent="0.15">
      <c r="M304" s="17"/>
      <c r="N304" s="17"/>
    </row>
    <row r="305" spans="13:14" s="18" customFormat="1" ht="8.25" x14ac:dyDescent="0.15">
      <c r="M305" s="17"/>
      <c r="N305" s="17"/>
    </row>
    <row r="306" spans="13:14" s="18" customFormat="1" ht="8.25" x14ac:dyDescent="0.15">
      <c r="M306" s="17"/>
      <c r="N306" s="17"/>
    </row>
    <row r="307" spans="13:14" s="18" customFormat="1" ht="8.25" x14ac:dyDescent="0.15">
      <c r="M307" s="17"/>
      <c r="N307" s="17"/>
    </row>
    <row r="308" spans="13:14" s="18" customFormat="1" ht="8.25" x14ac:dyDescent="0.15">
      <c r="M308" s="17"/>
      <c r="N308" s="17"/>
    </row>
    <row r="309" spans="13:14" s="18" customFormat="1" ht="8.25" x14ac:dyDescent="0.15">
      <c r="M309" s="17"/>
      <c r="N309" s="17"/>
    </row>
    <row r="310" spans="13:14" s="18" customFormat="1" ht="8.25" x14ac:dyDescent="0.15">
      <c r="M310" s="17"/>
      <c r="N310" s="17"/>
    </row>
    <row r="311" spans="13:14" s="18" customFormat="1" ht="8.25" x14ac:dyDescent="0.15">
      <c r="M311" s="17"/>
      <c r="N311" s="17"/>
    </row>
    <row r="312" spans="13:14" s="18" customFormat="1" ht="8.25" x14ac:dyDescent="0.15">
      <c r="M312" s="17"/>
      <c r="N312" s="17"/>
    </row>
    <row r="313" spans="13:14" s="18" customFormat="1" ht="8.25" x14ac:dyDescent="0.15">
      <c r="M313" s="17"/>
      <c r="N313" s="17"/>
    </row>
    <row r="314" spans="13:14" s="18" customFormat="1" ht="8.25" x14ac:dyDescent="0.15">
      <c r="M314" s="17"/>
      <c r="N314" s="17"/>
    </row>
    <row r="315" spans="13:14" s="18" customFormat="1" ht="8.25" x14ac:dyDescent="0.15">
      <c r="M315" s="17"/>
      <c r="N315" s="17"/>
    </row>
    <row r="316" spans="13:14" s="18" customFormat="1" ht="8.25" x14ac:dyDescent="0.15">
      <c r="M316" s="17"/>
      <c r="N316" s="17"/>
    </row>
    <row r="317" spans="13:14" s="18" customFormat="1" ht="8.25" x14ac:dyDescent="0.15">
      <c r="M317" s="17"/>
      <c r="N317" s="17"/>
    </row>
    <row r="318" spans="13:14" s="18" customFormat="1" ht="8.25" x14ac:dyDescent="0.15">
      <c r="M318" s="17"/>
      <c r="N318" s="17"/>
    </row>
    <row r="319" spans="13:14" s="18" customFormat="1" ht="8.25" x14ac:dyDescent="0.15">
      <c r="M319" s="17"/>
      <c r="N319" s="17"/>
    </row>
    <row r="320" spans="13:14" s="18" customFormat="1" ht="8.25" x14ac:dyDescent="0.15">
      <c r="M320" s="17"/>
      <c r="N320" s="17"/>
    </row>
    <row r="321" spans="13:14" s="18" customFormat="1" ht="8.25" x14ac:dyDescent="0.15">
      <c r="M321" s="17"/>
      <c r="N321" s="17"/>
    </row>
    <row r="322" spans="13:14" s="18" customFormat="1" ht="8.25" x14ac:dyDescent="0.15">
      <c r="M322" s="17"/>
      <c r="N322" s="17"/>
    </row>
    <row r="323" spans="13:14" s="18" customFormat="1" ht="8.25" x14ac:dyDescent="0.15">
      <c r="M323" s="17"/>
      <c r="N323" s="17"/>
    </row>
    <row r="324" spans="13:14" s="18" customFormat="1" ht="8.25" x14ac:dyDescent="0.15">
      <c r="M324" s="17"/>
      <c r="N324" s="17"/>
    </row>
    <row r="325" spans="13:14" s="18" customFormat="1" ht="8.25" x14ac:dyDescent="0.15">
      <c r="M325" s="17"/>
      <c r="N325" s="17"/>
    </row>
    <row r="326" spans="13:14" s="18" customFormat="1" ht="8.25" x14ac:dyDescent="0.15">
      <c r="M326" s="17"/>
      <c r="N326" s="17"/>
    </row>
    <row r="327" spans="13:14" s="18" customFormat="1" ht="8.25" x14ac:dyDescent="0.15">
      <c r="M327" s="17"/>
      <c r="N327" s="17"/>
    </row>
    <row r="328" spans="13:14" s="18" customFormat="1" ht="8.25" x14ac:dyDescent="0.15">
      <c r="M328" s="17"/>
      <c r="N328" s="17"/>
    </row>
    <row r="329" spans="13:14" s="18" customFormat="1" ht="8.25" x14ac:dyDescent="0.15">
      <c r="M329" s="17"/>
      <c r="N329" s="17"/>
    </row>
    <row r="330" spans="13:14" s="18" customFormat="1" ht="8.25" x14ac:dyDescent="0.15">
      <c r="M330" s="17"/>
      <c r="N330" s="17"/>
    </row>
    <row r="331" spans="13:14" s="18" customFormat="1" ht="8.25" x14ac:dyDescent="0.15">
      <c r="M331" s="17"/>
      <c r="N331" s="17"/>
    </row>
    <row r="332" spans="13:14" s="18" customFormat="1" ht="8.25" x14ac:dyDescent="0.15">
      <c r="M332" s="17"/>
      <c r="N332" s="17"/>
    </row>
    <row r="333" spans="13:14" s="18" customFormat="1" ht="8.25" x14ac:dyDescent="0.15">
      <c r="M333" s="17"/>
      <c r="N333" s="17"/>
    </row>
    <row r="334" spans="13:14" s="18" customFormat="1" ht="8.25" x14ac:dyDescent="0.15">
      <c r="M334" s="17"/>
      <c r="N334" s="17"/>
    </row>
    <row r="335" spans="13:14" s="18" customFormat="1" ht="8.25" x14ac:dyDescent="0.15">
      <c r="M335" s="17"/>
      <c r="N335" s="17"/>
    </row>
    <row r="336" spans="13:14" s="18" customFormat="1" ht="8.25" x14ac:dyDescent="0.15">
      <c r="M336" s="17"/>
      <c r="N336" s="17"/>
    </row>
    <row r="337" spans="13:14" s="18" customFormat="1" ht="8.25" x14ac:dyDescent="0.15">
      <c r="M337" s="17"/>
      <c r="N337" s="17"/>
    </row>
    <row r="338" spans="13:14" s="18" customFormat="1" ht="8.25" x14ac:dyDescent="0.15">
      <c r="M338" s="17"/>
      <c r="N338" s="17"/>
    </row>
    <row r="339" spans="13:14" s="18" customFormat="1" ht="8.25" x14ac:dyDescent="0.15">
      <c r="M339" s="17"/>
      <c r="N339" s="17"/>
    </row>
    <row r="340" spans="13:14" s="18" customFormat="1" ht="8.25" x14ac:dyDescent="0.15">
      <c r="M340" s="17"/>
      <c r="N340" s="17"/>
    </row>
    <row r="341" spans="13:14" s="18" customFormat="1" ht="8.25" x14ac:dyDescent="0.15">
      <c r="M341" s="17"/>
      <c r="N341" s="17"/>
    </row>
    <row r="342" spans="13:14" s="18" customFormat="1" ht="8.25" x14ac:dyDescent="0.15">
      <c r="M342" s="17"/>
      <c r="N342" s="17"/>
    </row>
    <row r="343" spans="13:14" s="18" customFormat="1" ht="8.25" x14ac:dyDescent="0.15">
      <c r="M343" s="17"/>
      <c r="N343" s="17"/>
    </row>
    <row r="344" spans="13:14" s="18" customFormat="1" ht="8.25" x14ac:dyDescent="0.15">
      <c r="M344" s="17"/>
      <c r="N344" s="17"/>
    </row>
    <row r="345" spans="13:14" s="18" customFormat="1" ht="8.25" x14ac:dyDescent="0.15">
      <c r="M345" s="17"/>
      <c r="N345" s="17"/>
    </row>
    <row r="346" spans="13:14" s="18" customFormat="1" ht="8.25" x14ac:dyDescent="0.15">
      <c r="M346" s="17"/>
      <c r="N346" s="17"/>
    </row>
    <row r="347" spans="13:14" s="18" customFormat="1" ht="8.25" x14ac:dyDescent="0.15">
      <c r="M347" s="17"/>
      <c r="N347" s="17"/>
    </row>
    <row r="348" spans="13:14" s="18" customFormat="1" ht="8.25" x14ac:dyDescent="0.15">
      <c r="M348" s="17"/>
      <c r="N348" s="17"/>
    </row>
    <row r="349" spans="13:14" s="18" customFormat="1" ht="8.25" x14ac:dyDescent="0.15">
      <c r="M349" s="17"/>
      <c r="N349" s="17"/>
    </row>
    <row r="350" spans="13:14" s="18" customFormat="1" ht="8.25" x14ac:dyDescent="0.15">
      <c r="M350" s="17"/>
      <c r="N350" s="17"/>
    </row>
    <row r="351" spans="13:14" s="18" customFormat="1" ht="8.25" x14ac:dyDescent="0.15">
      <c r="M351" s="17"/>
      <c r="N351" s="17"/>
    </row>
    <row r="352" spans="13:14" s="18" customFormat="1" ht="8.25" x14ac:dyDescent="0.15">
      <c r="M352" s="17"/>
      <c r="N352" s="17"/>
    </row>
    <row r="353" spans="13:14" s="18" customFormat="1" ht="8.25" x14ac:dyDescent="0.15">
      <c r="M353" s="17"/>
      <c r="N353" s="17"/>
    </row>
    <row r="354" spans="13:14" s="18" customFormat="1" ht="8.25" x14ac:dyDescent="0.15">
      <c r="M354" s="17"/>
      <c r="N354" s="17"/>
    </row>
    <row r="355" spans="13:14" s="18" customFormat="1" ht="8.25" x14ac:dyDescent="0.15">
      <c r="M355" s="17"/>
      <c r="N355" s="17"/>
    </row>
    <row r="356" spans="13:14" s="18" customFormat="1" ht="8.25" x14ac:dyDescent="0.15">
      <c r="M356" s="17"/>
      <c r="N356" s="17"/>
    </row>
    <row r="357" spans="13:14" s="18" customFormat="1" ht="8.25" x14ac:dyDescent="0.15">
      <c r="M357" s="17"/>
      <c r="N357" s="17"/>
    </row>
    <row r="358" spans="13:14" s="18" customFormat="1" ht="8.25" x14ac:dyDescent="0.15">
      <c r="M358" s="17"/>
      <c r="N358" s="17"/>
    </row>
    <row r="359" spans="13:14" s="18" customFormat="1" ht="8.25" x14ac:dyDescent="0.15">
      <c r="M359" s="17"/>
      <c r="N359" s="17"/>
    </row>
    <row r="360" spans="13:14" s="18" customFormat="1" ht="8.25" x14ac:dyDescent="0.15">
      <c r="M360" s="17"/>
      <c r="N360" s="17"/>
    </row>
    <row r="361" spans="13:14" s="18" customFormat="1" ht="8.25" x14ac:dyDescent="0.15">
      <c r="M361" s="17"/>
      <c r="N361" s="17"/>
    </row>
    <row r="362" spans="13:14" s="18" customFormat="1" ht="8.25" x14ac:dyDescent="0.15">
      <c r="M362" s="17"/>
      <c r="N362" s="17"/>
    </row>
    <row r="363" spans="13:14" s="18" customFormat="1" ht="8.25" x14ac:dyDescent="0.15">
      <c r="M363" s="17"/>
      <c r="N363" s="17"/>
    </row>
    <row r="364" spans="13:14" s="18" customFormat="1" ht="8.25" x14ac:dyDescent="0.15">
      <c r="M364" s="17"/>
      <c r="N364" s="17"/>
    </row>
    <row r="365" spans="13:14" s="18" customFormat="1" ht="8.25" x14ac:dyDescent="0.15">
      <c r="M365" s="17"/>
      <c r="N365" s="17"/>
    </row>
    <row r="366" spans="13:14" s="18" customFormat="1" ht="8.25" x14ac:dyDescent="0.15">
      <c r="M366" s="17"/>
      <c r="N366" s="17"/>
    </row>
    <row r="367" spans="13:14" s="18" customFormat="1" ht="8.25" x14ac:dyDescent="0.15">
      <c r="M367" s="17"/>
      <c r="N367" s="17"/>
    </row>
    <row r="368" spans="13:14" s="18" customFormat="1" ht="8.25" x14ac:dyDescent="0.15">
      <c r="M368" s="17"/>
      <c r="N368" s="17"/>
    </row>
    <row r="369" spans="13:14" s="18" customFormat="1" ht="8.25" x14ac:dyDescent="0.15">
      <c r="M369" s="17"/>
      <c r="N369" s="17"/>
    </row>
    <row r="370" spans="13:14" s="18" customFormat="1" ht="8.25" x14ac:dyDescent="0.15">
      <c r="M370" s="17"/>
      <c r="N370" s="17"/>
    </row>
    <row r="371" spans="13:14" s="18" customFormat="1" ht="8.25" x14ac:dyDescent="0.15">
      <c r="M371" s="17"/>
      <c r="N371" s="17"/>
    </row>
    <row r="372" spans="13:14" s="18" customFormat="1" ht="8.25" x14ac:dyDescent="0.15">
      <c r="M372" s="17"/>
      <c r="N372" s="17"/>
    </row>
    <row r="373" spans="13:14" s="18" customFormat="1" ht="8.25" x14ac:dyDescent="0.15">
      <c r="M373" s="17"/>
      <c r="N373" s="17"/>
    </row>
    <row r="374" spans="13:14" s="18" customFormat="1" ht="8.25" x14ac:dyDescent="0.15">
      <c r="M374" s="17"/>
      <c r="N374" s="17"/>
    </row>
    <row r="375" spans="13:14" s="18" customFormat="1" ht="8.25" x14ac:dyDescent="0.15">
      <c r="M375" s="17"/>
      <c r="N375" s="17"/>
    </row>
    <row r="376" spans="13:14" s="18" customFormat="1" ht="8.25" x14ac:dyDescent="0.15">
      <c r="M376" s="17"/>
      <c r="N376" s="17"/>
    </row>
    <row r="377" spans="13:14" s="18" customFormat="1" ht="8.25" x14ac:dyDescent="0.15">
      <c r="M377" s="17"/>
      <c r="N377" s="17"/>
    </row>
    <row r="378" spans="13:14" s="18" customFormat="1" ht="8.25" x14ac:dyDescent="0.15">
      <c r="M378" s="17"/>
      <c r="N378" s="17"/>
    </row>
    <row r="379" spans="13:14" s="18" customFormat="1" ht="8.25" x14ac:dyDescent="0.15">
      <c r="M379" s="17"/>
      <c r="N379" s="17"/>
    </row>
    <row r="380" spans="13:14" s="18" customFormat="1" ht="8.25" x14ac:dyDescent="0.15">
      <c r="M380" s="17"/>
      <c r="N380" s="17"/>
    </row>
    <row r="381" spans="13:14" s="18" customFormat="1" ht="8.25" x14ac:dyDescent="0.15">
      <c r="M381" s="17"/>
      <c r="N381" s="17"/>
    </row>
    <row r="382" spans="13:14" s="18" customFormat="1" ht="8.25" x14ac:dyDescent="0.15">
      <c r="M382" s="17"/>
      <c r="N382" s="17"/>
    </row>
    <row r="383" spans="13:14" s="18" customFormat="1" ht="8.25" x14ac:dyDescent="0.15">
      <c r="M383" s="17"/>
      <c r="N383" s="17"/>
    </row>
    <row r="384" spans="13:14" s="18" customFormat="1" ht="8.25" x14ac:dyDescent="0.15">
      <c r="M384" s="17"/>
      <c r="N384" s="17"/>
    </row>
    <row r="385" spans="13:14" s="18" customFormat="1" ht="8.25" x14ac:dyDescent="0.15">
      <c r="M385" s="17"/>
      <c r="N385" s="17"/>
    </row>
    <row r="386" spans="13:14" s="18" customFormat="1" ht="8.25" x14ac:dyDescent="0.15">
      <c r="M386" s="17"/>
      <c r="N386" s="17"/>
    </row>
    <row r="387" spans="13:14" s="18" customFormat="1" ht="8.25" x14ac:dyDescent="0.15">
      <c r="M387" s="17"/>
      <c r="N387" s="17"/>
    </row>
    <row r="388" spans="13:14" s="18" customFormat="1" ht="8.25" x14ac:dyDescent="0.15">
      <c r="M388" s="17"/>
      <c r="N388" s="17"/>
    </row>
    <row r="389" spans="13:14" s="18" customFormat="1" ht="8.25" x14ac:dyDescent="0.15">
      <c r="M389" s="17"/>
      <c r="N389" s="17"/>
    </row>
    <row r="390" spans="13:14" s="18" customFormat="1" ht="8.25" x14ac:dyDescent="0.15">
      <c r="M390" s="17"/>
      <c r="N390" s="17"/>
    </row>
    <row r="391" spans="13:14" s="18" customFormat="1" ht="8.25" x14ac:dyDescent="0.15">
      <c r="M391" s="17"/>
      <c r="N391" s="17"/>
    </row>
    <row r="392" spans="13:14" s="18" customFormat="1" ht="8.25" x14ac:dyDescent="0.15">
      <c r="M392" s="17"/>
      <c r="N392" s="17"/>
    </row>
    <row r="393" spans="13:14" s="18" customFormat="1" ht="8.25" x14ac:dyDescent="0.15">
      <c r="M393" s="17"/>
      <c r="N393" s="17"/>
    </row>
    <row r="394" spans="13:14" s="18" customFormat="1" ht="8.25" x14ac:dyDescent="0.15">
      <c r="M394" s="17"/>
      <c r="N394" s="17"/>
    </row>
    <row r="395" spans="13:14" s="18" customFormat="1" ht="8.25" x14ac:dyDescent="0.15">
      <c r="M395" s="17"/>
      <c r="N395" s="17"/>
    </row>
    <row r="396" spans="13:14" s="18" customFormat="1" ht="8.25" x14ac:dyDescent="0.15">
      <c r="M396" s="17"/>
      <c r="N396" s="17"/>
    </row>
    <row r="397" spans="13:14" s="18" customFormat="1" ht="8.25" x14ac:dyDescent="0.15">
      <c r="M397" s="17"/>
      <c r="N397" s="17"/>
    </row>
    <row r="398" spans="13:14" s="18" customFormat="1" ht="8.25" x14ac:dyDescent="0.15">
      <c r="M398" s="17"/>
      <c r="N398" s="17"/>
    </row>
    <row r="399" spans="13:14" s="18" customFormat="1" ht="8.25" x14ac:dyDescent="0.15">
      <c r="M399" s="17"/>
      <c r="N399" s="17"/>
    </row>
    <row r="400" spans="13:14" s="18" customFormat="1" ht="8.25" x14ac:dyDescent="0.15">
      <c r="M400" s="17"/>
      <c r="N400" s="17"/>
    </row>
    <row r="401" spans="13:14" s="18" customFormat="1" ht="8.25" x14ac:dyDescent="0.15">
      <c r="M401" s="17"/>
      <c r="N401" s="17"/>
    </row>
    <row r="402" spans="13:14" s="18" customFormat="1" ht="8.25" x14ac:dyDescent="0.15">
      <c r="M402" s="17"/>
      <c r="N402" s="17"/>
    </row>
    <row r="403" spans="13:14" s="18" customFormat="1" ht="8.25" x14ac:dyDescent="0.15">
      <c r="M403" s="17"/>
      <c r="N403" s="17"/>
    </row>
    <row r="404" spans="13:14" s="18" customFormat="1" ht="8.25" x14ac:dyDescent="0.15">
      <c r="M404" s="17"/>
      <c r="N404" s="17"/>
    </row>
    <row r="405" spans="13:14" s="18" customFormat="1" ht="8.25" x14ac:dyDescent="0.15">
      <c r="M405" s="17"/>
      <c r="N405" s="17"/>
    </row>
    <row r="406" spans="13:14" s="18" customFormat="1" ht="8.25" x14ac:dyDescent="0.15">
      <c r="M406" s="17"/>
      <c r="N406" s="17"/>
    </row>
    <row r="407" spans="13:14" s="18" customFormat="1" ht="8.25" x14ac:dyDescent="0.15">
      <c r="M407" s="17"/>
      <c r="N407" s="17"/>
    </row>
    <row r="408" spans="13:14" s="18" customFormat="1" ht="8.25" x14ac:dyDescent="0.15">
      <c r="M408" s="17"/>
      <c r="N408" s="17"/>
    </row>
    <row r="409" spans="13:14" s="18" customFormat="1" ht="8.25" x14ac:dyDescent="0.15">
      <c r="M409" s="17"/>
      <c r="N409" s="17"/>
    </row>
    <row r="410" spans="13:14" s="18" customFormat="1" ht="8.25" x14ac:dyDescent="0.15">
      <c r="M410" s="17"/>
      <c r="N410" s="17"/>
    </row>
    <row r="411" spans="13:14" s="18" customFormat="1" ht="8.25" x14ac:dyDescent="0.15">
      <c r="M411" s="17"/>
      <c r="N411" s="17"/>
    </row>
    <row r="412" spans="13:14" s="18" customFormat="1" ht="8.25" x14ac:dyDescent="0.15">
      <c r="M412" s="17"/>
      <c r="N412" s="17"/>
    </row>
    <row r="413" spans="13:14" s="18" customFormat="1" ht="8.25" x14ac:dyDescent="0.15">
      <c r="M413" s="17"/>
      <c r="N413" s="17"/>
    </row>
    <row r="414" spans="13:14" s="18" customFormat="1" ht="8.25" x14ac:dyDescent="0.15">
      <c r="M414" s="17"/>
      <c r="N414" s="17"/>
    </row>
    <row r="415" spans="13:14" s="18" customFormat="1" ht="8.25" x14ac:dyDescent="0.15">
      <c r="M415" s="17"/>
      <c r="N415" s="17"/>
    </row>
    <row r="416" spans="13:14" s="18" customFormat="1" ht="8.25" x14ac:dyDescent="0.15">
      <c r="M416" s="17"/>
      <c r="N416" s="17"/>
    </row>
    <row r="417" spans="13:14" s="18" customFormat="1" ht="8.25" x14ac:dyDescent="0.15">
      <c r="M417" s="17"/>
      <c r="N417" s="17"/>
    </row>
    <row r="418" spans="13:14" s="18" customFormat="1" ht="8.25" x14ac:dyDescent="0.15">
      <c r="M418" s="17"/>
      <c r="N418" s="17"/>
    </row>
    <row r="419" spans="13:14" s="18" customFormat="1" ht="8.25" x14ac:dyDescent="0.15">
      <c r="M419" s="17"/>
      <c r="N419" s="17"/>
    </row>
    <row r="420" spans="13:14" s="18" customFormat="1" ht="8.25" x14ac:dyDescent="0.15">
      <c r="M420" s="17"/>
      <c r="N420" s="17"/>
    </row>
    <row r="421" spans="13:14" s="18" customFormat="1" ht="8.25" x14ac:dyDescent="0.15">
      <c r="M421" s="17"/>
      <c r="N421" s="17"/>
    </row>
    <row r="422" spans="13:14" s="18" customFormat="1" ht="8.25" x14ac:dyDescent="0.15">
      <c r="M422" s="17"/>
      <c r="N422" s="17"/>
    </row>
    <row r="423" spans="13:14" s="18" customFormat="1" ht="8.25" x14ac:dyDescent="0.15">
      <c r="M423" s="17"/>
      <c r="N423" s="17"/>
    </row>
    <row r="424" spans="13:14" s="18" customFormat="1" ht="8.25" x14ac:dyDescent="0.15">
      <c r="M424" s="17"/>
      <c r="N424" s="17"/>
    </row>
    <row r="425" spans="13:14" s="18" customFormat="1" ht="8.25" x14ac:dyDescent="0.15">
      <c r="M425" s="17"/>
      <c r="N425" s="17"/>
    </row>
    <row r="426" spans="13:14" s="18" customFormat="1" ht="8.25" x14ac:dyDescent="0.15">
      <c r="M426" s="17"/>
      <c r="N426" s="17"/>
    </row>
    <row r="427" spans="13:14" s="18" customFormat="1" ht="8.25" x14ac:dyDescent="0.15">
      <c r="M427" s="17"/>
      <c r="N427" s="17"/>
    </row>
    <row r="428" spans="13:14" s="18" customFormat="1" ht="8.25" x14ac:dyDescent="0.15">
      <c r="M428" s="17"/>
      <c r="N428" s="17"/>
    </row>
    <row r="429" spans="13:14" s="18" customFormat="1" ht="8.25" x14ac:dyDescent="0.15">
      <c r="M429" s="17"/>
      <c r="N429" s="17"/>
    </row>
    <row r="430" spans="13:14" s="18" customFormat="1" ht="8.25" x14ac:dyDescent="0.15">
      <c r="M430" s="17"/>
      <c r="N430" s="17"/>
    </row>
    <row r="431" spans="13:14" s="18" customFormat="1" ht="8.25" x14ac:dyDescent="0.15">
      <c r="M431" s="17"/>
      <c r="N431" s="17"/>
    </row>
    <row r="432" spans="13:14" s="18" customFormat="1" ht="8.25" x14ac:dyDescent="0.15">
      <c r="M432" s="17"/>
      <c r="N432" s="17"/>
    </row>
    <row r="433" spans="13:14" s="18" customFormat="1" ht="8.25" x14ac:dyDescent="0.15">
      <c r="M433" s="17"/>
      <c r="N433" s="17"/>
    </row>
    <row r="434" spans="13:14" s="18" customFormat="1" ht="8.25" x14ac:dyDescent="0.15">
      <c r="M434" s="17"/>
      <c r="N434" s="17"/>
    </row>
    <row r="435" spans="13:14" s="18" customFormat="1" ht="8.25" x14ac:dyDescent="0.15">
      <c r="M435" s="17"/>
      <c r="N435" s="17"/>
    </row>
    <row r="436" spans="13:14" s="18" customFormat="1" ht="8.25" x14ac:dyDescent="0.15">
      <c r="M436" s="17"/>
      <c r="N436" s="17"/>
    </row>
    <row r="437" spans="13:14" s="18" customFormat="1" ht="8.25" x14ac:dyDescent="0.15">
      <c r="M437" s="17"/>
      <c r="N437" s="17"/>
    </row>
    <row r="438" spans="13:14" s="18" customFormat="1" ht="8.25" x14ac:dyDescent="0.15">
      <c r="M438" s="17"/>
      <c r="N438" s="17"/>
    </row>
    <row r="439" spans="13:14" s="18" customFormat="1" ht="8.25" x14ac:dyDescent="0.15">
      <c r="M439" s="17"/>
      <c r="N439" s="17"/>
    </row>
    <row r="440" spans="13:14" s="18" customFormat="1" ht="8.25" x14ac:dyDescent="0.15">
      <c r="M440" s="17"/>
      <c r="N440" s="17"/>
    </row>
    <row r="441" spans="13:14" s="18" customFormat="1" ht="8.25" x14ac:dyDescent="0.15">
      <c r="M441" s="17"/>
      <c r="N441" s="17"/>
    </row>
    <row r="442" spans="13:14" s="18" customFormat="1" ht="8.25" x14ac:dyDescent="0.15">
      <c r="M442" s="17"/>
      <c r="N442" s="17"/>
    </row>
    <row r="443" spans="13:14" s="18" customFormat="1" ht="8.25" x14ac:dyDescent="0.15">
      <c r="M443" s="17"/>
      <c r="N443" s="17"/>
    </row>
    <row r="444" spans="13:14" s="18" customFormat="1" ht="8.25" x14ac:dyDescent="0.15">
      <c r="M444" s="17"/>
      <c r="N444" s="17"/>
    </row>
    <row r="445" spans="13:14" s="18" customFormat="1" ht="8.25" x14ac:dyDescent="0.15">
      <c r="M445" s="17"/>
      <c r="N445" s="17"/>
    </row>
    <row r="446" spans="13:14" s="18" customFormat="1" ht="8.25" x14ac:dyDescent="0.15">
      <c r="M446" s="17"/>
      <c r="N446" s="17"/>
    </row>
    <row r="447" spans="13:14" s="18" customFormat="1" ht="8.25" x14ac:dyDescent="0.15">
      <c r="M447" s="17"/>
      <c r="N447" s="17"/>
    </row>
    <row r="448" spans="13:14" s="18" customFormat="1" ht="8.25" x14ac:dyDescent="0.15">
      <c r="M448" s="17"/>
      <c r="N448" s="17"/>
    </row>
    <row r="449" spans="13:14" s="18" customFormat="1" ht="8.25" x14ac:dyDescent="0.15">
      <c r="M449" s="17"/>
      <c r="N449" s="17"/>
    </row>
    <row r="450" spans="13:14" s="18" customFormat="1" ht="8.25" x14ac:dyDescent="0.15">
      <c r="M450" s="17"/>
      <c r="N450" s="17"/>
    </row>
    <row r="451" spans="13:14" s="18" customFormat="1" ht="8.25" x14ac:dyDescent="0.15">
      <c r="M451" s="17"/>
      <c r="N451" s="17"/>
    </row>
    <row r="452" spans="13:14" s="18" customFormat="1" ht="8.25" x14ac:dyDescent="0.15">
      <c r="M452" s="17"/>
      <c r="N452" s="17"/>
    </row>
    <row r="453" spans="13:14" s="18" customFormat="1" ht="8.25" x14ac:dyDescent="0.15">
      <c r="M453" s="17"/>
      <c r="N453" s="17"/>
    </row>
    <row r="454" spans="13:14" s="18" customFormat="1" ht="8.25" x14ac:dyDescent="0.15">
      <c r="M454" s="17"/>
      <c r="N454" s="17"/>
    </row>
    <row r="455" spans="13:14" s="18" customFormat="1" ht="8.25" x14ac:dyDescent="0.15">
      <c r="M455" s="17"/>
      <c r="N455" s="17"/>
    </row>
    <row r="456" spans="13:14" s="18" customFormat="1" ht="8.25" x14ac:dyDescent="0.15">
      <c r="M456" s="17"/>
      <c r="N456" s="17"/>
    </row>
    <row r="457" spans="13:14" s="18" customFormat="1" ht="8.25" x14ac:dyDescent="0.15">
      <c r="M457" s="17"/>
      <c r="N457" s="17"/>
    </row>
    <row r="458" spans="13:14" s="18" customFormat="1" ht="8.25" x14ac:dyDescent="0.15">
      <c r="M458" s="17"/>
      <c r="N458" s="17"/>
    </row>
    <row r="459" spans="13:14" s="18" customFormat="1" ht="8.25" x14ac:dyDescent="0.15">
      <c r="M459" s="17"/>
      <c r="N459" s="17"/>
    </row>
    <row r="460" spans="13:14" s="18" customFormat="1" ht="8.25" x14ac:dyDescent="0.15">
      <c r="M460" s="17"/>
      <c r="N460" s="17"/>
    </row>
    <row r="461" spans="13:14" s="18" customFormat="1" ht="8.25" x14ac:dyDescent="0.15">
      <c r="M461" s="17"/>
      <c r="N461" s="17"/>
    </row>
    <row r="462" spans="13:14" s="18" customFormat="1" ht="8.25" x14ac:dyDescent="0.15">
      <c r="M462" s="17"/>
      <c r="N462" s="17"/>
    </row>
    <row r="463" spans="13:14" s="18" customFormat="1" ht="8.25" x14ac:dyDescent="0.15">
      <c r="M463" s="17"/>
      <c r="N463" s="17"/>
    </row>
    <row r="464" spans="13:14" s="18" customFormat="1" ht="8.25" x14ac:dyDescent="0.15">
      <c r="M464" s="17"/>
      <c r="N464" s="17"/>
    </row>
    <row r="465" spans="13:14" s="18" customFormat="1" ht="8.25" x14ac:dyDescent="0.15">
      <c r="M465" s="17"/>
      <c r="N465" s="17"/>
    </row>
    <row r="466" spans="13:14" s="18" customFormat="1" ht="8.25" x14ac:dyDescent="0.15">
      <c r="M466" s="17"/>
      <c r="N466" s="17"/>
    </row>
    <row r="467" spans="13:14" s="18" customFormat="1" ht="8.25" x14ac:dyDescent="0.15">
      <c r="M467" s="17"/>
      <c r="N467" s="17"/>
    </row>
    <row r="468" spans="13:14" s="18" customFormat="1" ht="8.25" x14ac:dyDescent="0.15">
      <c r="M468" s="17"/>
      <c r="N468" s="17"/>
    </row>
    <row r="469" spans="13:14" s="18" customFormat="1" ht="8.25" x14ac:dyDescent="0.15">
      <c r="M469" s="17"/>
      <c r="N469" s="17"/>
    </row>
    <row r="470" spans="13:14" s="18" customFormat="1" ht="8.25" x14ac:dyDescent="0.15">
      <c r="M470" s="17"/>
      <c r="N470" s="17"/>
    </row>
    <row r="471" spans="13:14" s="18" customFormat="1" ht="8.25" x14ac:dyDescent="0.15">
      <c r="M471" s="17"/>
      <c r="N471" s="17"/>
    </row>
    <row r="472" spans="13:14" s="18" customFormat="1" ht="8.25" x14ac:dyDescent="0.15">
      <c r="M472" s="17"/>
      <c r="N472" s="17"/>
    </row>
    <row r="473" spans="13:14" s="18" customFormat="1" ht="8.25" x14ac:dyDescent="0.15">
      <c r="M473" s="17"/>
      <c r="N473" s="17"/>
    </row>
    <row r="474" spans="13:14" s="18" customFormat="1" ht="8.25" x14ac:dyDescent="0.15">
      <c r="M474" s="17"/>
      <c r="N474" s="17"/>
    </row>
    <row r="475" spans="13:14" s="18" customFormat="1" ht="8.25" x14ac:dyDescent="0.15">
      <c r="M475" s="17"/>
      <c r="N475" s="17"/>
    </row>
    <row r="476" spans="13:14" s="18" customFormat="1" ht="8.25" x14ac:dyDescent="0.15">
      <c r="M476" s="17"/>
      <c r="N476" s="17"/>
    </row>
    <row r="477" spans="13:14" s="18" customFormat="1" ht="8.25" x14ac:dyDescent="0.15">
      <c r="M477" s="17"/>
      <c r="N477" s="17"/>
    </row>
    <row r="478" spans="13:14" s="18" customFormat="1" ht="8.25" x14ac:dyDescent="0.15">
      <c r="M478" s="17"/>
      <c r="N478" s="17"/>
    </row>
    <row r="479" spans="13:14" s="18" customFormat="1" ht="8.25" x14ac:dyDescent="0.15">
      <c r="M479" s="17"/>
      <c r="N479" s="17"/>
    </row>
    <row r="480" spans="13:14" s="18" customFormat="1" ht="8.25" x14ac:dyDescent="0.15">
      <c r="M480" s="17"/>
      <c r="N480" s="17"/>
    </row>
    <row r="481" spans="13:14" s="18" customFormat="1" ht="8.25" x14ac:dyDescent="0.15">
      <c r="M481" s="17"/>
      <c r="N481" s="17"/>
    </row>
    <row r="482" spans="13:14" s="18" customFormat="1" ht="8.25" x14ac:dyDescent="0.15">
      <c r="M482" s="17"/>
      <c r="N482" s="17"/>
    </row>
    <row r="483" spans="13:14" s="18" customFormat="1" ht="8.25" x14ac:dyDescent="0.15">
      <c r="M483" s="17"/>
      <c r="N483" s="17"/>
    </row>
    <row r="484" spans="13:14" s="18" customFormat="1" ht="8.25" x14ac:dyDescent="0.15">
      <c r="M484" s="17"/>
      <c r="N484" s="17"/>
    </row>
    <row r="485" spans="13:14" s="18" customFormat="1" ht="8.25" x14ac:dyDescent="0.15">
      <c r="M485" s="17"/>
      <c r="N485" s="17"/>
    </row>
    <row r="486" spans="13:14" s="18" customFormat="1" ht="8.25" x14ac:dyDescent="0.15">
      <c r="M486" s="17"/>
      <c r="N486" s="17"/>
    </row>
    <row r="487" spans="13:14" s="18" customFormat="1" ht="8.25" x14ac:dyDescent="0.15">
      <c r="M487" s="17"/>
      <c r="N487" s="17"/>
    </row>
    <row r="488" spans="13:14" s="18" customFormat="1" ht="8.25" x14ac:dyDescent="0.15">
      <c r="M488" s="17"/>
      <c r="N488" s="17"/>
    </row>
    <row r="489" spans="13:14" s="18" customFormat="1" ht="8.25" x14ac:dyDescent="0.15">
      <c r="M489" s="17"/>
      <c r="N489" s="17"/>
    </row>
    <row r="490" spans="13:14" s="18" customFormat="1" ht="8.25" x14ac:dyDescent="0.15">
      <c r="M490" s="17"/>
      <c r="N490" s="17"/>
    </row>
    <row r="491" spans="13:14" s="18" customFormat="1" ht="8.25" x14ac:dyDescent="0.15">
      <c r="M491" s="17"/>
      <c r="N491" s="17"/>
    </row>
    <row r="492" spans="13:14" s="18" customFormat="1" ht="8.25" x14ac:dyDescent="0.15">
      <c r="M492" s="17"/>
      <c r="N492" s="17"/>
    </row>
    <row r="493" spans="13:14" s="18" customFormat="1" ht="8.25" x14ac:dyDescent="0.15">
      <c r="M493" s="17"/>
      <c r="N493" s="17"/>
    </row>
    <row r="494" spans="13:14" s="18" customFormat="1" ht="8.25" x14ac:dyDescent="0.15">
      <c r="M494" s="17"/>
      <c r="N494" s="17"/>
    </row>
    <row r="495" spans="13:14" s="18" customFormat="1" ht="8.25" x14ac:dyDescent="0.15">
      <c r="M495" s="17"/>
      <c r="N495" s="17"/>
    </row>
    <row r="496" spans="13:14" s="18" customFormat="1" ht="8.25" x14ac:dyDescent="0.15">
      <c r="M496" s="17"/>
      <c r="N496" s="17"/>
    </row>
    <row r="497" spans="13:14" s="18" customFormat="1" ht="8.25" x14ac:dyDescent="0.15">
      <c r="M497" s="17"/>
      <c r="N497" s="17"/>
    </row>
    <row r="498" spans="13:14" s="18" customFormat="1" ht="8.25" x14ac:dyDescent="0.15">
      <c r="M498" s="17"/>
      <c r="N498" s="17"/>
    </row>
    <row r="499" spans="13:14" s="18" customFormat="1" ht="8.25" x14ac:dyDescent="0.15">
      <c r="M499" s="17"/>
      <c r="N499" s="17"/>
    </row>
    <row r="500" spans="13:14" s="18" customFormat="1" ht="8.25" x14ac:dyDescent="0.15">
      <c r="M500" s="17"/>
      <c r="N500" s="17"/>
    </row>
    <row r="501" spans="13:14" s="18" customFormat="1" ht="8.25" x14ac:dyDescent="0.15">
      <c r="M501" s="17"/>
      <c r="N501" s="17"/>
    </row>
    <row r="502" spans="13:14" s="18" customFormat="1" ht="8.25" x14ac:dyDescent="0.15">
      <c r="M502" s="17"/>
      <c r="N502" s="17"/>
    </row>
    <row r="503" spans="13:14" s="18" customFormat="1" ht="8.25" x14ac:dyDescent="0.15">
      <c r="M503" s="17"/>
      <c r="N503" s="17"/>
    </row>
    <row r="504" spans="13:14" s="18" customFormat="1" ht="8.25" x14ac:dyDescent="0.15">
      <c r="M504" s="17"/>
      <c r="N504" s="17"/>
    </row>
    <row r="505" spans="13:14" s="18" customFormat="1" ht="8.25" x14ac:dyDescent="0.15">
      <c r="M505" s="17"/>
      <c r="N505" s="17"/>
    </row>
    <row r="506" spans="13:14" s="18" customFormat="1" ht="8.25" x14ac:dyDescent="0.15">
      <c r="M506" s="17"/>
      <c r="N506" s="17"/>
    </row>
    <row r="507" spans="13:14" s="18" customFormat="1" ht="8.25" x14ac:dyDescent="0.15">
      <c r="M507" s="17"/>
      <c r="N507" s="17"/>
    </row>
    <row r="508" spans="13:14" s="18" customFormat="1" ht="8.25" x14ac:dyDescent="0.15">
      <c r="M508" s="17"/>
      <c r="N508" s="17"/>
    </row>
    <row r="509" spans="13:14" s="18" customFormat="1" ht="8.25" x14ac:dyDescent="0.15">
      <c r="M509" s="17"/>
      <c r="N509" s="17"/>
    </row>
    <row r="510" spans="13:14" s="18" customFormat="1" ht="8.25" x14ac:dyDescent="0.15">
      <c r="M510" s="17"/>
      <c r="N510" s="17"/>
    </row>
    <row r="511" spans="13:14" s="18" customFormat="1" ht="8.25" x14ac:dyDescent="0.15">
      <c r="M511" s="17"/>
      <c r="N511" s="17"/>
    </row>
    <row r="512" spans="13:14" s="18" customFormat="1" ht="8.25" x14ac:dyDescent="0.15">
      <c r="M512" s="17"/>
      <c r="N512" s="17"/>
    </row>
    <row r="513" spans="13:14" s="18" customFormat="1" ht="8.25" x14ac:dyDescent="0.15">
      <c r="M513" s="17"/>
      <c r="N513" s="17"/>
    </row>
    <row r="514" spans="13:14" s="18" customFormat="1" ht="8.25" x14ac:dyDescent="0.15">
      <c r="M514" s="17"/>
      <c r="N514" s="17"/>
    </row>
    <row r="515" spans="13:14" s="18" customFormat="1" ht="8.25" x14ac:dyDescent="0.15">
      <c r="M515" s="17"/>
      <c r="N515" s="17"/>
    </row>
    <row r="516" spans="13:14" s="18" customFormat="1" ht="8.25" x14ac:dyDescent="0.15">
      <c r="M516" s="17"/>
      <c r="N516" s="17"/>
    </row>
    <row r="517" spans="13:14" s="18" customFormat="1" ht="8.25" x14ac:dyDescent="0.15">
      <c r="M517" s="17"/>
      <c r="N517" s="17"/>
    </row>
    <row r="518" spans="13:14" s="18" customFormat="1" ht="8.25" x14ac:dyDescent="0.15">
      <c r="M518" s="17"/>
      <c r="N518" s="17"/>
    </row>
    <row r="519" spans="13:14" s="18" customFormat="1" ht="8.25" x14ac:dyDescent="0.15">
      <c r="M519" s="17"/>
      <c r="N519" s="17"/>
    </row>
    <row r="520" spans="13:14" s="18" customFormat="1" ht="8.25" x14ac:dyDescent="0.15">
      <c r="M520" s="17"/>
      <c r="N520" s="17"/>
    </row>
    <row r="521" spans="13:14" s="18" customFormat="1" ht="8.25" x14ac:dyDescent="0.15">
      <c r="M521" s="17"/>
      <c r="N521" s="17"/>
    </row>
    <row r="522" spans="13:14" s="18" customFormat="1" ht="8.25" x14ac:dyDescent="0.15">
      <c r="M522" s="17"/>
      <c r="N522" s="17"/>
    </row>
    <row r="523" spans="13:14" s="18" customFormat="1" ht="8.25" x14ac:dyDescent="0.15">
      <c r="M523" s="17"/>
      <c r="N523" s="17"/>
    </row>
    <row r="524" spans="13:14" s="18" customFormat="1" ht="8.25" x14ac:dyDescent="0.15">
      <c r="M524" s="17"/>
      <c r="N524" s="17"/>
    </row>
    <row r="525" spans="13:14" s="18" customFormat="1" ht="8.25" x14ac:dyDescent="0.15">
      <c r="M525" s="17"/>
      <c r="N525" s="17"/>
    </row>
    <row r="526" spans="13:14" s="18" customFormat="1" ht="8.25" x14ac:dyDescent="0.15">
      <c r="M526" s="17"/>
      <c r="N526" s="17"/>
    </row>
    <row r="527" spans="13:14" s="18" customFormat="1" ht="8.25" x14ac:dyDescent="0.15">
      <c r="M527" s="17"/>
      <c r="N527" s="17"/>
    </row>
    <row r="528" spans="13:14" s="18" customFormat="1" ht="8.25" x14ac:dyDescent="0.15">
      <c r="M528" s="17"/>
      <c r="N528" s="17"/>
    </row>
    <row r="529" spans="13:14" s="18" customFormat="1" ht="8.25" x14ac:dyDescent="0.15">
      <c r="M529" s="17"/>
      <c r="N529" s="17"/>
    </row>
    <row r="530" spans="13:14" s="18" customFormat="1" ht="8.25" x14ac:dyDescent="0.15">
      <c r="M530" s="17"/>
      <c r="N530" s="17"/>
    </row>
    <row r="531" spans="13:14" s="18" customFormat="1" ht="8.25" x14ac:dyDescent="0.15">
      <c r="M531" s="17"/>
      <c r="N531" s="17"/>
    </row>
    <row r="532" spans="13:14" s="18" customFormat="1" ht="8.25" x14ac:dyDescent="0.15">
      <c r="M532" s="17"/>
      <c r="N532" s="17"/>
    </row>
    <row r="533" spans="13:14" s="18" customFormat="1" ht="8.25" x14ac:dyDescent="0.15">
      <c r="M533" s="17"/>
      <c r="N533" s="17"/>
    </row>
    <row r="534" spans="13:14" s="18" customFormat="1" ht="8.25" x14ac:dyDescent="0.15">
      <c r="M534" s="17"/>
      <c r="N534" s="17"/>
    </row>
    <row r="535" spans="13:14" s="18" customFormat="1" ht="8.25" x14ac:dyDescent="0.15">
      <c r="M535" s="17"/>
      <c r="N535" s="17"/>
    </row>
    <row r="536" spans="13:14" s="18" customFormat="1" ht="8.25" x14ac:dyDescent="0.15">
      <c r="M536" s="17"/>
      <c r="N536" s="17"/>
    </row>
    <row r="537" spans="13:14" s="18" customFormat="1" ht="8.25" x14ac:dyDescent="0.15">
      <c r="M537" s="17"/>
      <c r="N537" s="17"/>
    </row>
    <row r="538" spans="13:14" s="18" customFormat="1" ht="8.25" x14ac:dyDescent="0.15">
      <c r="M538" s="17"/>
      <c r="N538" s="17"/>
    </row>
    <row r="539" spans="13:14" s="18" customFormat="1" ht="8.25" x14ac:dyDescent="0.15">
      <c r="M539" s="17"/>
      <c r="N539" s="17"/>
    </row>
    <row r="540" spans="13:14" s="18" customFormat="1" ht="8.25" x14ac:dyDescent="0.15">
      <c r="M540" s="17"/>
      <c r="N540" s="17"/>
    </row>
    <row r="541" spans="13:14" s="18" customFormat="1" ht="8.25" x14ac:dyDescent="0.15">
      <c r="M541" s="17"/>
      <c r="N541" s="17"/>
    </row>
    <row r="542" spans="13:14" s="18" customFormat="1" ht="8.25" x14ac:dyDescent="0.15">
      <c r="M542" s="17"/>
      <c r="N542" s="17"/>
    </row>
    <row r="543" spans="13:14" s="18" customFormat="1" ht="8.25" x14ac:dyDescent="0.15">
      <c r="M543" s="17"/>
      <c r="N543" s="17"/>
    </row>
    <row r="544" spans="13:14" s="18" customFormat="1" ht="8.25" x14ac:dyDescent="0.15">
      <c r="M544" s="17"/>
      <c r="N544" s="17"/>
    </row>
    <row r="545" spans="13:14" s="18" customFormat="1" ht="8.25" x14ac:dyDescent="0.15">
      <c r="M545" s="17"/>
      <c r="N545" s="17"/>
    </row>
    <row r="546" spans="13:14" s="18" customFormat="1" ht="8.25" x14ac:dyDescent="0.15">
      <c r="M546" s="17"/>
      <c r="N546" s="17"/>
    </row>
    <row r="547" spans="13:14" s="18" customFormat="1" ht="8.25" x14ac:dyDescent="0.15">
      <c r="M547" s="17"/>
      <c r="N547" s="17"/>
    </row>
    <row r="548" spans="13:14" s="18" customFormat="1" ht="8.25" x14ac:dyDescent="0.15">
      <c r="M548" s="17"/>
      <c r="N548" s="17"/>
    </row>
    <row r="549" spans="13:14" s="18" customFormat="1" ht="8.25" x14ac:dyDescent="0.15">
      <c r="M549" s="17"/>
      <c r="N549" s="17"/>
    </row>
    <row r="550" spans="13:14" s="18" customFormat="1" ht="8.25" x14ac:dyDescent="0.15">
      <c r="M550" s="17"/>
      <c r="N550" s="17"/>
    </row>
    <row r="551" spans="13:14" s="18" customFormat="1" ht="8.25" x14ac:dyDescent="0.15">
      <c r="M551" s="17"/>
      <c r="N551" s="17"/>
    </row>
    <row r="552" spans="13:14" s="18" customFormat="1" ht="8.25" x14ac:dyDescent="0.15">
      <c r="M552" s="17"/>
      <c r="N552" s="17"/>
    </row>
    <row r="553" spans="13:14" s="18" customFormat="1" ht="8.25" x14ac:dyDescent="0.15">
      <c r="M553" s="17"/>
      <c r="N553" s="17"/>
    </row>
    <row r="554" spans="13:14" s="18" customFormat="1" ht="8.25" x14ac:dyDescent="0.15">
      <c r="M554" s="17"/>
      <c r="N554" s="17"/>
    </row>
    <row r="555" spans="13:14" s="18" customFormat="1" ht="8.25" x14ac:dyDescent="0.15">
      <c r="M555" s="17"/>
      <c r="N555" s="17"/>
    </row>
    <row r="556" spans="13:14" s="18" customFormat="1" ht="8.25" x14ac:dyDescent="0.15">
      <c r="M556" s="17"/>
      <c r="N556" s="17"/>
    </row>
    <row r="557" spans="13:14" s="18" customFormat="1" ht="8.25" x14ac:dyDescent="0.15">
      <c r="M557" s="17"/>
      <c r="N557" s="17"/>
    </row>
    <row r="558" spans="13:14" s="18" customFormat="1" ht="8.25" x14ac:dyDescent="0.15">
      <c r="M558" s="17"/>
      <c r="N558" s="17"/>
    </row>
    <row r="559" spans="13:14" s="18" customFormat="1" ht="8.25" x14ac:dyDescent="0.15">
      <c r="M559" s="17"/>
      <c r="N559" s="17"/>
    </row>
    <row r="560" spans="13:14" s="18" customFormat="1" ht="8.25" x14ac:dyDescent="0.15">
      <c r="M560" s="17"/>
      <c r="N560" s="17"/>
    </row>
    <row r="561" spans="13:14" s="18" customFormat="1" ht="8.25" x14ac:dyDescent="0.15">
      <c r="M561" s="17"/>
      <c r="N561" s="17"/>
    </row>
    <row r="562" spans="13:14" s="18" customFormat="1" ht="8.25" x14ac:dyDescent="0.15">
      <c r="M562" s="17"/>
      <c r="N562" s="17"/>
    </row>
    <row r="563" spans="13:14" s="18" customFormat="1" ht="8.25" x14ac:dyDescent="0.15">
      <c r="M563" s="17"/>
      <c r="N563" s="17"/>
    </row>
    <row r="564" spans="13:14" s="18" customFormat="1" ht="8.25" x14ac:dyDescent="0.15">
      <c r="M564" s="17"/>
      <c r="N564" s="17"/>
    </row>
    <row r="565" spans="13:14" s="18" customFormat="1" ht="8.25" x14ac:dyDescent="0.15">
      <c r="M565" s="17"/>
      <c r="N565" s="17"/>
    </row>
    <row r="566" spans="13:14" s="18" customFormat="1" ht="8.25" x14ac:dyDescent="0.15">
      <c r="M566" s="17"/>
      <c r="N566" s="17"/>
    </row>
    <row r="567" spans="13:14" s="18" customFormat="1" ht="8.25" x14ac:dyDescent="0.15">
      <c r="M567" s="17"/>
      <c r="N567" s="17"/>
    </row>
    <row r="568" spans="13:14" s="18" customFormat="1" ht="8.25" x14ac:dyDescent="0.15">
      <c r="M568" s="17"/>
      <c r="N568" s="17"/>
    </row>
    <row r="569" spans="13:14" s="18" customFormat="1" ht="8.25" x14ac:dyDescent="0.15">
      <c r="M569" s="17"/>
      <c r="N569" s="17"/>
    </row>
    <row r="570" spans="13:14" s="18" customFormat="1" ht="8.25" x14ac:dyDescent="0.15">
      <c r="M570" s="17"/>
      <c r="N570" s="17"/>
    </row>
    <row r="571" spans="13:14" s="18" customFormat="1" ht="8.25" x14ac:dyDescent="0.15">
      <c r="M571" s="17"/>
      <c r="N571" s="17"/>
    </row>
    <row r="572" spans="13:14" s="18" customFormat="1" ht="8.25" x14ac:dyDescent="0.15">
      <c r="M572" s="17"/>
      <c r="N572" s="17"/>
    </row>
    <row r="573" spans="13:14" s="18" customFormat="1" ht="8.25" x14ac:dyDescent="0.15">
      <c r="M573" s="17"/>
      <c r="N573" s="17"/>
    </row>
    <row r="574" spans="13:14" s="18" customFormat="1" ht="8.25" x14ac:dyDescent="0.15">
      <c r="M574" s="17"/>
      <c r="N574" s="17"/>
    </row>
    <row r="575" spans="13:14" s="18" customFormat="1" ht="8.25" x14ac:dyDescent="0.15">
      <c r="M575" s="17"/>
      <c r="N575" s="17"/>
    </row>
    <row r="576" spans="13:14" s="18" customFormat="1" ht="8.25" x14ac:dyDescent="0.15">
      <c r="M576" s="17"/>
      <c r="N576" s="17"/>
    </row>
    <row r="577" spans="13:14" s="18" customFormat="1" ht="8.25" x14ac:dyDescent="0.15">
      <c r="M577" s="17"/>
      <c r="N577" s="17"/>
    </row>
    <row r="578" spans="13:14" s="18" customFormat="1" ht="8.25" x14ac:dyDescent="0.15">
      <c r="M578" s="17"/>
      <c r="N578" s="17"/>
    </row>
    <row r="579" spans="13:14" s="18" customFormat="1" ht="8.25" x14ac:dyDescent="0.15">
      <c r="M579" s="17"/>
      <c r="N579" s="17"/>
    </row>
    <row r="580" spans="13:14" s="18" customFormat="1" ht="8.25" x14ac:dyDescent="0.15">
      <c r="M580" s="17"/>
      <c r="N580" s="17"/>
    </row>
    <row r="581" spans="13:14" s="18" customFormat="1" ht="8.25" x14ac:dyDescent="0.15">
      <c r="M581" s="17"/>
      <c r="N581" s="17"/>
    </row>
    <row r="582" spans="13:14" s="18" customFormat="1" ht="8.25" x14ac:dyDescent="0.15">
      <c r="M582" s="17"/>
      <c r="N582" s="17"/>
    </row>
    <row r="583" spans="13:14" s="18" customFormat="1" ht="8.25" x14ac:dyDescent="0.15">
      <c r="M583" s="17"/>
      <c r="N583" s="17"/>
    </row>
    <row r="584" spans="13:14" s="18" customFormat="1" ht="8.25" x14ac:dyDescent="0.15">
      <c r="M584" s="17"/>
      <c r="N584" s="17"/>
    </row>
    <row r="585" spans="13:14" s="18" customFormat="1" ht="8.25" x14ac:dyDescent="0.15">
      <c r="M585" s="17"/>
      <c r="N585" s="17"/>
    </row>
    <row r="586" spans="13:14" s="18" customFormat="1" ht="8.25" x14ac:dyDescent="0.15">
      <c r="M586" s="17"/>
      <c r="N586" s="17"/>
    </row>
    <row r="587" spans="13:14" s="18" customFormat="1" ht="8.25" x14ac:dyDescent="0.15">
      <c r="M587" s="17"/>
      <c r="N587" s="17"/>
    </row>
    <row r="588" spans="13:14" s="18" customFormat="1" ht="8.25" x14ac:dyDescent="0.15">
      <c r="M588" s="17"/>
      <c r="N588" s="17"/>
    </row>
    <row r="589" spans="13:14" s="18" customFormat="1" ht="8.25" x14ac:dyDescent="0.15">
      <c r="M589" s="17"/>
      <c r="N589" s="17"/>
    </row>
    <row r="590" spans="13:14" s="18" customFormat="1" ht="8.25" x14ac:dyDescent="0.15">
      <c r="M590" s="17"/>
      <c r="N590" s="17"/>
    </row>
    <row r="591" spans="13:14" s="18" customFormat="1" ht="8.25" x14ac:dyDescent="0.15">
      <c r="M591" s="17"/>
      <c r="N591" s="17"/>
    </row>
    <row r="592" spans="13:14" s="18" customFormat="1" ht="8.25" x14ac:dyDescent="0.15">
      <c r="M592" s="17"/>
      <c r="N592" s="17"/>
    </row>
    <row r="593" spans="4:14" s="18" customFormat="1" ht="8.25" x14ac:dyDescent="0.15">
      <c r="M593" s="17"/>
      <c r="N593" s="17"/>
    </row>
    <row r="594" spans="4:14" s="18" customFormat="1" ht="8.25" x14ac:dyDescent="0.15">
      <c r="M594" s="17"/>
      <c r="N594" s="17"/>
    </row>
    <row r="595" spans="4:14" s="18" customFormat="1" ht="8.25" x14ac:dyDescent="0.15">
      <c r="M595" s="17"/>
      <c r="N595" s="17"/>
    </row>
    <row r="596" spans="4:14" s="18" customFormat="1" ht="8.25" x14ac:dyDescent="0.15">
      <c r="M596" s="17"/>
      <c r="N596" s="17"/>
    </row>
    <row r="597" spans="4:14" s="18" customFormat="1" ht="8.25" x14ac:dyDescent="0.15">
      <c r="M597" s="17"/>
      <c r="N597" s="17"/>
    </row>
    <row r="598" spans="4:14" s="18" customFormat="1" ht="8.25" x14ac:dyDescent="0.15">
      <c r="M598" s="17"/>
      <c r="N598" s="17"/>
    </row>
    <row r="599" spans="4:14" s="18" customFormat="1" ht="8.25" x14ac:dyDescent="0.15">
      <c r="M599" s="17"/>
      <c r="N599" s="17"/>
    </row>
    <row r="600" spans="4:14" s="18" customFormat="1" ht="8.25" x14ac:dyDescent="0.15">
      <c r="D600" s="17"/>
      <c r="M600" s="17"/>
      <c r="N600" s="17"/>
    </row>
    <row r="601" spans="4:14" s="18" customFormat="1" x14ac:dyDescent="0.2">
      <c r="D601" s="17"/>
      <c r="L601" s="15"/>
      <c r="M601" s="16"/>
      <c r="N601" s="17"/>
    </row>
  </sheetData>
  <sheetProtection sheet="1" objects="1" scenarios="1"/>
  <mergeCells count="16">
    <mergeCell ref="E2:I3"/>
    <mergeCell ref="H5:I5"/>
    <mergeCell ref="H6:I6"/>
    <mergeCell ref="H10:I10"/>
    <mergeCell ref="I13:I14"/>
    <mergeCell ref="F4:F5"/>
    <mergeCell ref="Z32:AE32"/>
    <mergeCell ref="S8:T10"/>
    <mergeCell ref="J33:P37"/>
    <mergeCell ref="I38:P40"/>
    <mergeCell ref="G4:G5"/>
    <mergeCell ref="I15:I16"/>
    <mergeCell ref="I17:I18"/>
    <mergeCell ref="C28:I29"/>
    <mergeCell ref="C30:I30"/>
    <mergeCell ref="H23:I23"/>
  </mergeCells>
  <phoneticPr fontId="0" type="noConversion"/>
  <printOptions gridLines="1"/>
  <pageMargins left="0.75" right="0.75" top="1" bottom="1" header="0.5" footer="0.5"/>
  <pageSetup orientation="portrait" r:id="rId1"/>
  <headerFooter alignWithMargins="0"/>
  <ignoredErrors>
    <ignoredError sqref="N26" unlockedFormula="1"/>
    <ignoredError sqref="G13" formulaRange="1"/>
    <ignoredError sqref="H18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CA5D82-1DA3-421A-AFC8-FB0414235411}">
          <x14:formula1>
            <xm:f>'Ref Data'!$G$29:$G$31</xm:f>
          </x14:formula1>
          <xm:sqref>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A8E69-467F-4278-8A7F-BB9E32002FB1}">
  <dimension ref="B1:B38"/>
  <sheetViews>
    <sheetView showGridLines="0" workbookViewId="0">
      <selection activeCell="B23" sqref="B23"/>
    </sheetView>
  </sheetViews>
  <sheetFormatPr defaultRowHeight="12.75" x14ac:dyDescent="0.2"/>
  <cols>
    <col min="2" max="2" width="92.5703125" style="1" customWidth="1"/>
  </cols>
  <sheetData>
    <row r="1" spans="2:2" ht="13.5" thickBot="1" x14ac:dyDescent="0.25"/>
    <row r="2" spans="2:2" ht="14.25" customHeight="1" thickTop="1" x14ac:dyDescent="0.2">
      <c r="B2" s="2"/>
    </row>
    <row r="3" spans="2:2" ht="25.5" x14ac:dyDescent="0.2">
      <c r="B3" s="3" t="s">
        <v>61</v>
      </c>
    </row>
    <row r="4" spans="2:2" ht="14.25" customHeight="1" x14ac:dyDescent="0.2">
      <c r="B4" s="3"/>
    </row>
    <row r="5" spans="2:2" ht="14.25" customHeight="1" x14ac:dyDescent="0.2">
      <c r="B5" s="3" t="s">
        <v>160</v>
      </c>
    </row>
    <row r="6" spans="2:2" ht="14.25" customHeight="1" x14ac:dyDescent="0.2">
      <c r="B6" s="3"/>
    </row>
    <row r="7" spans="2:2" ht="14.25" customHeight="1" x14ac:dyDescent="0.2">
      <c r="B7" s="3" t="s">
        <v>70</v>
      </c>
    </row>
    <row r="8" spans="2:2" ht="14.25" customHeight="1" x14ac:dyDescent="0.2">
      <c r="B8" s="4"/>
    </row>
    <row r="9" spans="2:2" ht="14.25" customHeight="1" x14ac:dyDescent="0.2">
      <c r="B9" s="3" t="s">
        <v>71</v>
      </c>
    </row>
    <row r="10" spans="2:2" ht="14.25" customHeight="1" x14ac:dyDescent="0.2">
      <c r="B10" s="3" t="s">
        <v>74</v>
      </c>
    </row>
    <row r="11" spans="2:2" ht="14.25" customHeight="1" x14ac:dyDescent="0.2">
      <c r="B11" s="4"/>
    </row>
    <row r="12" spans="2:2" ht="14.25" customHeight="1" x14ac:dyDescent="0.2">
      <c r="B12" s="3" t="s">
        <v>72</v>
      </c>
    </row>
    <row r="13" spans="2:2" ht="14.25" customHeight="1" x14ac:dyDescent="0.2">
      <c r="B13" s="3" t="s">
        <v>73</v>
      </c>
    </row>
    <row r="14" spans="2:2" ht="14.25" customHeight="1" x14ac:dyDescent="0.2">
      <c r="B14" s="3" t="s">
        <v>85</v>
      </c>
    </row>
    <row r="15" spans="2:2" ht="14.25" customHeight="1" x14ac:dyDescent="0.2">
      <c r="B15" s="4"/>
    </row>
    <row r="16" spans="2:2" ht="14.25" customHeight="1" x14ac:dyDescent="0.2">
      <c r="B16" s="3" t="s">
        <v>86</v>
      </c>
    </row>
    <row r="17" spans="2:2" ht="14.25" customHeight="1" x14ac:dyDescent="0.2">
      <c r="B17" s="4"/>
    </row>
    <row r="18" spans="2:2" ht="14.25" customHeight="1" thickBot="1" x14ac:dyDescent="0.25">
      <c r="B18" s="5"/>
    </row>
    <row r="19" spans="2:2" ht="14.25" customHeight="1" thickTop="1" x14ac:dyDescent="0.2">
      <c r="B19"/>
    </row>
    <row r="20" spans="2:2" ht="14.25" customHeight="1" x14ac:dyDescent="0.2">
      <c r="B20"/>
    </row>
    <row r="21" spans="2:2" ht="14.25" customHeight="1" x14ac:dyDescent="0.2">
      <c r="B21"/>
    </row>
    <row r="22" spans="2:2" ht="14.25" customHeight="1" x14ac:dyDescent="0.2">
      <c r="B22"/>
    </row>
    <row r="23" spans="2:2" ht="14.25" customHeight="1" x14ac:dyDescent="0.2">
      <c r="B23"/>
    </row>
    <row r="24" spans="2:2" ht="14.25" customHeight="1" x14ac:dyDescent="0.2">
      <c r="B24"/>
    </row>
    <row r="25" spans="2:2" ht="14.25" customHeight="1" x14ac:dyDescent="0.2">
      <c r="B25"/>
    </row>
    <row r="26" spans="2:2" ht="14.25" customHeight="1" x14ac:dyDescent="0.2">
      <c r="B26"/>
    </row>
    <row r="27" spans="2:2" ht="14.25" customHeight="1" x14ac:dyDescent="0.2">
      <c r="B27"/>
    </row>
    <row r="28" spans="2:2" ht="14.25" customHeight="1" x14ac:dyDescent="0.2">
      <c r="B28"/>
    </row>
    <row r="29" spans="2:2" ht="14.25" customHeight="1" x14ac:dyDescent="0.2">
      <c r="B29"/>
    </row>
    <row r="30" spans="2:2" ht="14.25" customHeight="1" x14ac:dyDescent="0.2">
      <c r="B30"/>
    </row>
    <row r="31" spans="2:2" ht="14.25" customHeight="1" x14ac:dyDescent="0.2">
      <c r="B31"/>
    </row>
    <row r="32" spans="2:2" ht="14.25" customHeight="1" x14ac:dyDescent="0.2">
      <c r="B32"/>
    </row>
    <row r="33" spans="2:2" ht="14.25" customHeight="1" x14ac:dyDescent="0.2">
      <c r="B33"/>
    </row>
    <row r="34" spans="2:2" ht="14.25" customHeight="1" x14ac:dyDescent="0.2">
      <c r="B34"/>
    </row>
    <row r="35" spans="2:2" ht="14.25" customHeight="1" x14ac:dyDescent="0.2">
      <c r="B35"/>
    </row>
    <row r="36" spans="2:2" ht="14.25" customHeight="1" x14ac:dyDescent="0.2">
      <c r="B36"/>
    </row>
    <row r="37" spans="2:2" ht="14.25" customHeight="1" x14ac:dyDescent="0.2">
      <c r="B37"/>
    </row>
    <row r="38" spans="2:2" x14ac:dyDescent="0.2">
      <c r="B38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E3EA1-0411-445F-99A1-B0155B7A7EC2}">
  <dimension ref="A3:W567"/>
  <sheetViews>
    <sheetView showGridLines="0" workbookViewId="0">
      <selection activeCell="I17" sqref="I17"/>
    </sheetView>
  </sheetViews>
  <sheetFormatPr defaultRowHeight="12.75" x14ac:dyDescent="0.2"/>
  <cols>
    <col min="2" max="3" width="9.140625" style="74"/>
    <col min="5" max="5" width="11.28515625" bestFit="1" customWidth="1"/>
    <col min="7" max="7" width="9.7109375" customWidth="1"/>
    <col min="15" max="15" width="9" customWidth="1"/>
    <col min="16" max="16" width="10.42578125" customWidth="1"/>
  </cols>
  <sheetData>
    <row r="3" spans="1:16" x14ac:dyDescent="0.2">
      <c r="D3" s="17"/>
      <c r="E3" s="17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x14ac:dyDescent="0.2">
      <c r="A4" s="131" t="s">
        <v>130</v>
      </c>
      <c r="B4" s="132" t="s">
        <v>36</v>
      </c>
      <c r="C4" s="132" t="s">
        <v>11</v>
      </c>
      <c r="D4" s="132" t="s">
        <v>1</v>
      </c>
      <c r="E4" s="132" t="s">
        <v>0</v>
      </c>
      <c r="F4" s="133" t="s">
        <v>41</v>
      </c>
      <c r="G4" s="134" t="s">
        <v>54</v>
      </c>
      <c r="H4" s="135"/>
      <c r="I4" s="136">
        <f>'King Air Loading Calculations'!G9</f>
        <v>1</v>
      </c>
      <c r="J4" s="137" t="s">
        <v>83</v>
      </c>
      <c r="K4" s="138"/>
      <c r="L4" s="139"/>
      <c r="M4" s="125"/>
      <c r="N4" s="125"/>
      <c r="O4" s="125"/>
      <c r="P4" s="18"/>
    </row>
    <row r="5" spans="1:16" x14ac:dyDescent="0.2">
      <c r="A5" s="140">
        <f>'King Air Loading Calculations'!G8</f>
        <v>5</v>
      </c>
      <c r="B5" s="141">
        <f>M16</f>
        <v>8251.5</v>
      </c>
      <c r="C5" s="142">
        <f>N16</f>
        <v>184.74931830576259</v>
      </c>
      <c r="D5" s="143">
        <f>O16</f>
        <v>1524459</v>
      </c>
      <c r="E5" s="144" t="s">
        <v>2</v>
      </c>
      <c r="F5" s="133">
        <v>1</v>
      </c>
      <c r="G5" s="145" t="s">
        <v>79</v>
      </c>
      <c r="H5" s="146"/>
      <c r="I5" s="147">
        <v>14</v>
      </c>
      <c r="J5" s="148" t="s">
        <v>139</v>
      </c>
      <c r="K5" s="125" t="str">
        <f>VLOOKUP(I4,F5:G8,2,FALSE)</f>
        <v>B99 P/N 99-530073-4</v>
      </c>
      <c r="M5" s="125"/>
      <c r="N5" s="125"/>
      <c r="O5" s="125"/>
      <c r="P5" s="18"/>
    </row>
    <row r="6" spans="1:16" x14ac:dyDescent="0.2">
      <c r="B6" s="141">
        <f>'King Air Loading Calculations'!E6+'King Air Loading Calculations'!E7</f>
        <v>325</v>
      </c>
      <c r="C6" s="149">
        <f>126</f>
        <v>126</v>
      </c>
      <c r="D6" s="143">
        <f>B6*C6</f>
        <v>40950</v>
      </c>
      <c r="E6" s="144" t="s">
        <v>122</v>
      </c>
      <c r="F6" s="133">
        <v>2</v>
      </c>
      <c r="G6" s="150" t="s">
        <v>39</v>
      </c>
      <c r="H6" s="135"/>
      <c r="I6" s="147">
        <v>22.5</v>
      </c>
      <c r="N6" s="125"/>
      <c r="O6" s="125"/>
      <c r="P6" s="18"/>
    </row>
    <row r="7" spans="1:16" x14ac:dyDescent="0.2">
      <c r="B7" s="141">
        <f>'King Air Loading Calculations'!E8</f>
        <v>400</v>
      </c>
      <c r="C7" s="149">
        <v>160</v>
      </c>
      <c r="D7" s="143">
        <f>B7*C7</f>
        <v>64000</v>
      </c>
      <c r="E7" s="144" t="s">
        <v>30</v>
      </c>
      <c r="F7" s="133">
        <v>3</v>
      </c>
      <c r="G7" s="150" t="s">
        <v>77</v>
      </c>
      <c r="H7" s="135"/>
      <c r="I7" s="147">
        <v>19.5</v>
      </c>
      <c r="J7" s="135" t="s">
        <v>120</v>
      </c>
      <c r="K7" s="135"/>
      <c r="L7" s="135"/>
      <c r="M7" s="151"/>
      <c r="N7" s="125"/>
      <c r="O7" s="125"/>
      <c r="P7" s="18"/>
    </row>
    <row r="8" spans="1:16" x14ac:dyDescent="0.2">
      <c r="A8" s="265">
        <f>C8-C7</f>
        <v>32</v>
      </c>
      <c r="B8" s="141">
        <f>'King Air Loading Calculations'!E9</f>
        <v>400</v>
      </c>
      <c r="C8" s="149">
        <v>192</v>
      </c>
      <c r="D8" s="143">
        <f t="shared" ref="D8:D19" si="0">B8*C8</f>
        <v>76800</v>
      </c>
      <c r="E8" s="144" t="s">
        <v>31</v>
      </c>
      <c r="F8" s="133">
        <v>4</v>
      </c>
      <c r="G8" s="152" t="s">
        <v>166</v>
      </c>
      <c r="H8" s="153"/>
      <c r="I8" s="147">
        <v>15</v>
      </c>
      <c r="J8" s="154" t="s">
        <v>59</v>
      </c>
      <c r="K8" s="154"/>
      <c r="L8" s="154"/>
      <c r="M8" s="154"/>
      <c r="N8" s="154"/>
      <c r="O8" s="154"/>
      <c r="P8" s="119"/>
    </row>
    <row r="9" spans="1:16" x14ac:dyDescent="0.2">
      <c r="A9" s="265">
        <f t="shared" ref="A9:A11" si="1">C9-C8</f>
        <v>29</v>
      </c>
      <c r="B9" s="141">
        <f>'King Air Loading Calculations'!E10</f>
        <v>400</v>
      </c>
      <c r="C9" s="149">
        <v>221</v>
      </c>
      <c r="D9" s="143">
        <f t="shared" si="0"/>
        <v>88400</v>
      </c>
      <c r="E9" s="144" t="s">
        <v>32</v>
      </c>
      <c r="F9" s="155"/>
      <c r="G9" s="155"/>
      <c r="H9" s="125"/>
      <c r="I9" s="125" t="s">
        <v>84</v>
      </c>
      <c r="J9" s="154" t="s">
        <v>57</v>
      </c>
      <c r="K9" s="154" t="s">
        <v>60</v>
      </c>
      <c r="L9" s="154"/>
      <c r="M9" s="154"/>
      <c r="N9" s="154"/>
      <c r="O9" s="154"/>
      <c r="P9" s="119"/>
    </row>
    <row r="10" spans="1:16" x14ac:dyDescent="0.2">
      <c r="A10" s="265">
        <f t="shared" si="1"/>
        <v>29</v>
      </c>
      <c r="B10" s="141">
        <f>'King Air Loading Calculations'!E11</f>
        <v>400</v>
      </c>
      <c r="C10" s="149">
        <v>250</v>
      </c>
      <c r="D10" s="143">
        <f t="shared" si="0"/>
        <v>100000</v>
      </c>
      <c r="E10" s="144" t="s">
        <v>33</v>
      </c>
      <c r="F10" s="155"/>
      <c r="G10" s="125"/>
      <c r="H10" s="125"/>
      <c r="I10" s="125"/>
      <c r="J10" s="154"/>
      <c r="K10" s="154" t="s">
        <v>58</v>
      </c>
      <c r="L10" s="154"/>
      <c r="M10" s="154"/>
      <c r="N10" s="154"/>
      <c r="O10" s="154"/>
      <c r="P10" s="119"/>
    </row>
    <row r="11" spans="1:16" ht="13.5" thickBot="1" x14ac:dyDescent="0.25">
      <c r="A11" s="265">
        <f t="shared" si="1"/>
        <v>29</v>
      </c>
      <c r="B11" s="141">
        <f>'King Air Loading Calculations'!E12</f>
        <v>0</v>
      </c>
      <c r="C11" s="149">
        <v>279</v>
      </c>
      <c r="D11" s="143">
        <f t="shared" si="0"/>
        <v>0</v>
      </c>
      <c r="E11" s="144" t="s">
        <v>34</v>
      </c>
      <c r="F11" s="367" t="s">
        <v>46</v>
      </c>
      <c r="G11" s="368"/>
      <c r="H11" s="368"/>
      <c r="I11" s="368"/>
      <c r="J11" s="125"/>
      <c r="K11" s="125"/>
      <c r="L11" s="125"/>
      <c r="M11" s="125"/>
      <c r="N11" s="125"/>
      <c r="O11" s="125"/>
      <c r="P11" s="18"/>
    </row>
    <row r="12" spans="1:16" x14ac:dyDescent="0.2">
      <c r="A12" s="264"/>
      <c r="B12" s="141">
        <f>M19</f>
        <v>1541</v>
      </c>
      <c r="C12" s="149">
        <f>N19</f>
        <v>182.47890979883192</v>
      </c>
      <c r="D12" s="143">
        <f t="shared" si="0"/>
        <v>281200</v>
      </c>
      <c r="E12" s="144" t="s">
        <v>62</v>
      </c>
      <c r="F12" s="125"/>
      <c r="G12" s="157" t="s">
        <v>9</v>
      </c>
      <c r="H12" s="158" t="s">
        <v>10</v>
      </c>
      <c r="I12" s="158" t="s">
        <v>11</v>
      </c>
      <c r="J12" s="159" t="s">
        <v>19</v>
      </c>
      <c r="K12" s="125"/>
      <c r="L12" s="125"/>
      <c r="M12" s="125"/>
      <c r="N12" s="125"/>
      <c r="O12" s="125"/>
      <c r="P12" s="18"/>
    </row>
    <row r="13" spans="1:16" ht="13.5" thickBot="1" x14ac:dyDescent="0.25">
      <c r="B13" s="141">
        <f>'King Air Loading Calculations'!E13</f>
        <v>0</v>
      </c>
      <c r="C13" s="160">
        <v>167</v>
      </c>
      <c r="D13" s="143">
        <f t="shared" si="0"/>
        <v>0</v>
      </c>
      <c r="E13" s="144" t="s">
        <v>20</v>
      </c>
      <c r="F13" s="125"/>
      <c r="G13" s="161">
        <f>'King Air Loading Calculations'!E19</f>
        <v>230</v>
      </c>
      <c r="H13" s="162">
        <f>VLOOKUP('King Air Loading Calculations'!E19,'Ref Data'!B32:F566,2)</f>
        <v>281200</v>
      </c>
      <c r="I13" s="163">
        <f>VLOOKUP('King Air Loading Calculations'!E19,'Ref Data'!B32:F566,3)</f>
        <v>182.47890979883192</v>
      </c>
      <c r="J13" s="164">
        <f>VLOOKUP('King Air Loading Calculations'!E19,'Ref Data'!B32:F566,4)</f>
        <v>1541</v>
      </c>
      <c r="K13" s="125"/>
      <c r="L13" s="125"/>
      <c r="M13" s="125"/>
      <c r="N13" s="125"/>
      <c r="O13" s="125"/>
      <c r="P13" s="18"/>
    </row>
    <row r="14" spans="1:16" ht="13.5" thickBot="1" x14ac:dyDescent="0.25">
      <c r="B14" s="141">
        <f>'King Air Loading Calculations'!E14</f>
        <v>0</v>
      </c>
      <c r="C14" s="160">
        <v>210</v>
      </c>
      <c r="D14" s="143">
        <f t="shared" si="0"/>
        <v>0</v>
      </c>
      <c r="E14" s="144" t="s">
        <v>4</v>
      </c>
      <c r="F14" s="155"/>
      <c r="G14" s="125"/>
      <c r="H14" s="125"/>
      <c r="I14" s="125"/>
      <c r="J14" s="125"/>
      <c r="K14" s="125"/>
      <c r="L14" s="165" t="s">
        <v>80</v>
      </c>
      <c r="M14" s="165"/>
      <c r="N14" s="165"/>
      <c r="O14" s="166"/>
      <c r="P14" s="18"/>
    </row>
    <row r="15" spans="1:16" ht="14.25" thickTop="1" thickBot="1" x14ac:dyDescent="0.25">
      <c r="B15" s="141">
        <f>'King Air Loading Calculations'!E15</f>
        <v>0</v>
      </c>
      <c r="C15" s="160">
        <v>250</v>
      </c>
      <c r="D15" s="143">
        <f t="shared" si="0"/>
        <v>0</v>
      </c>
      <c r="E15" s="144" t="s">
        <v>5</v>
      </c>
      <c r="F15" s="155"/>
      <c r="G15" s="357" t="s">
        <v>119</v>
      </c>
      <c r="H15" s="369"/>
      <c r="I15" s="125"/>
      <c r="J15" s="125"/>
      <c r="K15" s="125"/>
      <c r="L15" s="125"/>
      <c r="M15" s="156" t="s">
        <v>36</v>
      </c>
      <c r="N15" s="156" t="s">
        <v>11</v>
      </c>
      <c r="O15" s="167" t="s">
        <v>26</v>
      </c>
      <c r="P15" s="18"/>
    </row>
    <row r="16" spans="1:16" ht="13.5" thickBot="1" x14ac:dyDescent="0.25">
      <c r="B16" s="141">
        <f>'King Air Loading Calculations'!E16</f>
        <v>250</v>
      </c>
      <c r="C16" s="160">
        <v>290</v>
      </c>
      <c r="D16" s="143">
        <f t="shared" si="0"/>
        <v>72500</v>
      </c>
      <c r="E16" s="144" t="s">
        <v>6</v>
      </c>
      <c r="F16" s="155"/>
      <c r="G16" s="355">
        <v>12500</v>
      </c>
      <c r="H16" s="370"/>
      <c r="I16" s="125"/>
      <c r="J16" s="125"/>
      <c r="K16" s="125"/>
      <c r="L16" s="168" t="s">
        <v>2</v>
      </c>
      <c r="M16" s="169">
        <f>VLOOKUP('King Air Loading Calculations'!G8,'King Air Loading Calculations'!E32:G39,2)</f>
        <v>8251.5</v>
      </c>
      <c r="N16" s="170">
        <f>VLOOKUP('King Air Loading Calculations'!G8,'King Air Loading Calculations'!E32:G39,3)</f>
        <v>184.74931830576259</v>
      </c>
      <c r="O16" s="171">
        <f>M16*N16</f>
        <v>1524459</v>
      </c>
      <c r="P16" s="18"/>
    </row>
    <row r="17" spans="1:23" ht="13.5" thickTop="1" x14ac:dyDescent="0.2">
      <c r="B17" s="141">
        <f>'King Air Loading Calculations'!E17</f>
        <v>350</v>
      </c>
      <c r="C17" s="160">
        <v>335</v>
      </c>
      <c r="D17" s="143">
        <f t="shared" si="0"/>
        <v>117250</v>
      </c>
      <c r="E17" s="172" t="s">
        <v>121</v>
      </c>
      <c r="F17" s="173"/>
      <c r="G17" s="357" t="s">
        <v>38</v>
      </c>
      <c r="H17" s="369"/>
      <c r="I17" s="173"/>
      <c r="J17" s="125"/>
      <c r="K17" s="125"/>
      <c r="L17" s="174" t="s">
        <v>125</v>
      </c>
      <c r="M17" s="175">
        <f>SGear_Wt</f>
        <v>41</v>
      </c>
      <c r="N17" s="176">
        <f>SGear_Moment</f>
        <v>229</v>
      </c>
      <c r="O17" s="177">
        <f>M17*N17</f>
        <v>9389</v>
      </c>
      <c r="P17" s="363" t="s">
        <v>127</v>
      </c>
      <c r="Q17" s="364"/>
    </row>
    <row r="18" spans="1:23" ht="13.5" thickBot="1" x14ac:dyDescent="0.25">
      <c r="B18" s="276"/>
      <c r="C18" s="277"/>
      <c r="D18" s="278"/>
      <c r="E18" s="279" t="s">
        <v>67</v>
      </c>
      <c r="F18" s="155"/>
      <c r="G18" s="355">
        <v>12590</v>
      </c>
      <c r="H18" s="370"/>
      <c r="I18" s="125"/>
      <c r="J18" s="125"/>
      <c r="K18" s="125"/>
      <c r="L18" s="178" t="s">
        <v>126</v>
      </c>
      <c r="M18" s="179">
        <f>M16+M17</f>
        <v>8292.5</v>
      </c>
      <c r="N18" s="176">
        <f>O18/M18</f>
        <v>184.96810370817002</v>
      </c>
      <c r="O18" s="177">
        <f>O16+O17</f>
        <v>1533848</v>
      </c>
      <c r="P18" s="365"/>
      <c r="Q18" s="366"/>
    </row>
    <row r="19" spans="1:23" ht="14.25" thickTop="1" thickBot="1" x14ac:dyDescent="0.25">
      <c r="B19" s="141">
        <f>'King Air Loading Calculations'!E18</f>
        <v>225</v>
      </c>
      <c r="C19" s="160">
        <v>229</v>
      </c>
      <c r="D19" s="143">
        <f t="shared" si="0"/>
        <v>51525</v>
      </c>
      <c r="E19" s="191" t="s">
        <v>23</v>
      </c>
      <c r="G19" s="357" t="s">
        <v>22</v>
      </c>
      <c r="H19" s="358"/>
      <c r="I19" s="180"/>
      <c r="J19" s="125"/>
      <c r="K19" s="125"/>
      <c r="L19" s="181" t="s">
        <v>62</v>
      </c>
      <c r="M19" s="182">
        <f>VLOOKUP('King Air Loading Calculations'!E19,'Ref Data'!B32:F566,4)</f>
        <v>1541</v>
      </c>
      <c r="N19" s="183">
        <f>VLOOKUP('King Air Loading Calculations'!E19,'Ref Data'!B32:F566,3)</f>
        <v>182.47890979883192</v>
      </c>
      <c r="O19" s="184">
        <f>M19*N19</f>
        <v>281200</v>
      </c>
      <c r="P19" s="18"/>
      <c r="T19" s="185">
        <v>500</v>
      </c>
      <c r="U19" s="186">
        <v>632300</v>
      </c>
      <c r="V19" s="187">
        <v>188.74626865671641</v>
      </c>
      <c r="W19" s="188">
        <f t="shared" ref="W19" si="2">T19*6.7</f>
        <v>3350</v>
      </c>
    </row>
    <row r="20" spans="1:23" ht="13.5" thickBot="1" x14ac:dyDescent="0.25">
      <c r="B20" s="189">
        <f>'King Air Loading Calculations'!E20</f>
        <v>41</v>
      </c>
      <c r="C20" s="149">
        <f>SGear_Moment</f>
        <v>229</v>
      </c>
      <c r="D20" s="190">
        <f>B20*C20</f>
        <v>9389</v>
      </c>
      <c r="E20" s="191" t="s">
        <v>63</v>
      </c>
      <c r="F20" s="155"/>
      <c r="G20" s="355">
        <v>11000</v>
      </c>
      <c r="H20" s="356"/>
      <c r="I20" s="180"/>
      <c r="J20" s="125"/>
      <c r="K20" s="125"/>
      <c r="L20" s="125"/>
      <c r="M20" s="125">
        <f>M19/6.7</f>
        <v>230</v>
      </c>
      <c r="N20" s="125" t="s">
        <v>81</v>
      </c>
      <c r="O20" s="125"/>
      <c r="P20" s="18"/>
    </row>
    <row r="21" spans="1:23" ht="14.25" thickTop="1" thickBot="1" x14ac:dyDescent="0.25">
      <c r="B21" s="132" t="s">
        <v>36</v>
      </c>
      <c r="C21" s="132" t="s">
        <v>11</v>
      </c>
      <c r="D21" s="132" t="s">
        <v>1</v>
      </c>
      <c r="E21" s="132" t="s">
        <v>0</v>
      </c>
      <c r="F21" s="155"/>
      <c r="G21" s="155"/>
      <c r="H21" s="155"/>
      <c r="I21" s="180"/>
      <c r="J21" s="192" t="str">
        <f>IF('King Air Loading Calculations'!E16&gt;'King Air Loading Calculations'!I18,"BAD CG","OK CG")</f>
        <v>BAD CG</v>
      </c>
      <c r="L21" s="125"/>
      <c r="M21" s="155">
        <f>22+19+44+70+20+21</f>
        <v>196</v>
      </c>
      <c r="N21" s="125" t="s">
        <v>7</v>
      </c>
      <c r="O21" s="125"/>
      <c r="P21" s="18"/>
    </row>
    <row r="22" spans="1:23" ht="13.5" thickBot="1" x14ac:dyDescent="0.25">
      <c r="B22" s="193">
        <f>SUM(B5:B20)</f>
        <v>12583.5</v>
      </c>
      <c r="C22" s="194">
        <f>D22/B22</f>
        <v>192.82973735447212</v>
      </c>
      <c r="D22" s="195">
        <f>SUM(D5:D20)</f>
        <v>2426473</v>
      </c>
      <c r="E22" s="196" t="s">
        <v>128</v>
      </c>
      <c r="F22" s="155"/>
      <c r="G22" s="156"/>
      <c r="H22" s="197"/>
      <c r="I22" s="180"/>
      <c r="J22" s="198" t="s">
        <v>48</v>
      </c>
      <c r="L22" s="125"/>
      <c r="M22" s="199">
        <f>M21/60</f>
        <v>3.2666666666666666</v>
      </c>
      <c r="N22" s="125" t="s">
        <v>8</v>
      </c>
      <c r="O22" s="125"/>
      <c r="P22" s="18"/>
    </row>
    <row r="23" spans="1:23" ht="13.5" thickBot="1" x14ac:dyDescent="0.25">
      <c r="B23" s="189"/>
      <c r="C23" s="200"/>
      <c r="D23" s="201"/>
      <c r="E23" s="196"/>
      <c r="F23" s="155"/>
      <c r="G23" s="202" t="str">
        <f>IF('King Air Loading Calculations'!G16&gt;12590,"OVER GROSS", "BURN TAXI FUEL")</f>
        <v>BURN TAXI FUEL</v>
      </c>
      <c r="H23" s="155"/>
      <c r="I23" s="180"/>
      <c r="J23" s="203" t="s">
        <v>47</v>
      </c>
      <c r="L23" s="125"/>
      <c r="M23" s="125"/>
      <c r="N23" s="125"/>
      <c r="O23" s="125"/>
      <c r="P23" s="18"/>
    </row>
    <row r="24" spans="1:23" ht="13.5" thickBot="1" x14ac:dyDescent="0.25">
      <c r="F24" s="155"/>
      <c r="G24" s="125"/>
      <c r="H24" s="125"/>
      <c r="I24" s="204"/>
      <c r="J24" s="125"/>
      <c r="K24" s="125"/>
      <c r="L24" s="125"/>
      <c r="M24" s="125"/>
      <c r="N24" s="125"/>
      <c r="O24" s="125"/>
      <c r="P24" s="18"/>
    </row>
    <row r="25" spans="1:23" ht="13.5" thickBot="1" x14ac:dyDescent="0.25">
      <c r="D25" s="155"/>
      <c r="E25" s="155"/>
      <c r="F25" s="155"/>
      <c r="G25" s="205" t="str">
        <f>IF('King Air Loading Calculations'!G17&gt;'King Air Loading Calculations'!G18,"IN C.G.","C.G. NOT OK")</f>
        <v>IN C.G.</v>
      </c>
      <c r="H25" s="125"/>
      <c r="I25" s="125"/>
      <c r="J25" s="125"/>
      <c r="K25" s="125"/>
      <c r="L25" s="206">
        <f>'King Air Loading Calculations'!E20</f>
        <v>41</v>
      </c>
      <c r="M25" s="207" t="s">
        <v>123</v>
      </c>
      <c r="N25" s="207"/>
      <c r="O25" s="255" t="s">
        <v>146</v>
      </c>
      <c r="P25" s="256"/>
    </row>
    <row r="26" spans="1:23" ht="13.5" thickBot="1" x14ac:dyDescent="0.25">
      <c r="L26" s="208">
        <f>VLOOKUP('King Air Loading Calculations'!G20,'Ref Data'!G29:I31,3,TRUE)</f>
        <v>229</v>
      </c>
      <c r="M26" s="207" t="s">
        <v>124</v>
      </c>
      <c r="N26" s="209"/>
      <c r="O26" s="361" t="s">
        <v>147</v>
      </c>
      <c r="P26" s="362"/>
    </row>
    <row r="27" spans="1:23" x14ac:dyDescent="0.2">
      <c r="G27" s="359" t="s">
        <v>66</v>
      </c>
      <c r="L27" s="210"/>
      <c r="M27" s="125"/>
    </row>
    <row r="28" spans="1:23" x14ac:dyDescent="0.2">
      <c r="A28" s="15"/>
      <c r="B28" s="16"/>
      <c r="C28" s="16"/>
      <c r="D28" s="15"/>
      <c r="E28" s="16"/>
      <c r="F28" s="16"/>
      <c r="G28" s="360"/>
      <c r="H28" s="117" t="s">
        <v>36</v>
      </c>
      <c r="I28" s="117" t="s">
        <v>65</v>
      </c>
      <c r="J28" s="117" t="s">
        <v>26</v>
      </c>
    </row>
    <row r="29" spans="1:23" x14ac:dyDescent="0.2">
      <c r="A29" s="18"/>
      <c r="B29" s="17"/>
      <c r="C29" s="17"/>
      <c r="D29" s="18"/>
      <c r="E29" s="17"/>
      <c r="F29" s="17"/>
      <c r="G29" s="211" t="s">
        <v>64</v>
      </c>
      <c r="H29" s="211">
        <f>SGear_Wt</f>
        <v>41</v>
      </c>
      <c r="I29" s="212">
        <v>325</v>
      </c>
      <c r="J29" s="211">
        <f>H29*I29</f>
        <v>13325</v>
      </c>
    </row>
    <row r="30" spans="1:23" x14ac:dyDescent="0.2">
      <c r="A30" s="18"/>
      <c r="B30" s="17"/>
      <c r="C30" s="213" t="s">
        <v>82</v>
      </c>
      <c r="D30" s="18"/>
      <c r="E30" s="18"/>
      <c r="F30" s="17"/>
      <c r="G30" s="211" t="s">
        <v>141</v>
      </c>
      <c r="H30" s="211">
        <f>SGear_Wt</f>
        <v>41</v>
      </c>
      <c r="I30" s="212">
        <v>229</v>
      </c>
      <c r="J30" s="211">
        <f>H30*I30</f>
        <v>9389</v>
      </c>
    </row>
    <row r="31" spans="1:23" ht="13.5" thickBot="1" x14ac:dyDescent="0.25">
      <c r="A31" s="18"/>
      <c r="B31" s="117" t="s">
        <v>9</v>
      </c>
      <c r="C31" s="117" t="s">
        <v>10</v>
      </c>
      <c r="D31" s="117" t="s">
        <v>11</v>
      </c>
      <c r="E31" s="117" t="s">
        <v>19</v>
      </c>
      <c r="F31" s="17"/>
      <c r="G31" s="211" t="s">
        <v>142</v>
      </c>
      <c r="H31" s="211">
        <f>SGear_Wt</f>
        <v>41</v>
      </c>
      <c r="I31" s="212">
        <v>160</v>
      </c>
      <c r="J31" s="211">
        <f>H31*I31</f>
        <v>6560</v>
      </c>
    </row>
    <row r="32" spans="1:23" ht="13.5" thickBot="1" x14ac:dyDescent="0.25">
      <c r="A32" s="18"/>
      <c r="B32" s="214">
        <v>10</v>
      </c>
      <c r="C32" s="215">
        <v>10300</v>
      </c>
      <c r="D32" s="216">
        <v>153.73134328358208</v>
      </c>
      <c r="E32" s="217">
        <f t="shared" ref="E32:E95" si="3">B32*6.7</f>
        <v>67</v>
      </c>
      <c r="F32" s="17"/>
      <c r="G32" s="18"/>
      <c r="H32" s="18"/>
      <c r="I32" s="18"/>
      <c r="J32" s="18"/>
    </row>
    <row r="33" spans="1:15" ht="13.5" thickTop="1" x14ac:dyDescent="0.2">
      <c r="A33" s="18"/>
      <c r="B33" s="185">
        <v>11</v>
      </c>
      <c r="C33" s="218">
        <v>11330</v>
      </c>
      <c r="D33" s="219">
        <v>153.73134328358208</v>
      </c>
      <c r="E33" s="188">
        <f t="shared" si="3"/>
        <v>73.7</v>
      </c>
      <c r="F33" s="17"/>
      <c r="G33" s="220"/>
      <c r="H33" s="221"/>
      <c r="I33" s="222"/>
      <c r="J33" s="223"/>
      <c r="K33" s="18"/>
      <c r="L33" s="18"/>
      <c r="M33" s="117" t="s">
        <v>49</v>
      </c>
      <c r="N33" s="18"/>
      <c r="O33" s="117" t="s">
        <v>151</v>
      </c>
    </row>
    <row r="34" spans="1:15" ht="13.5" thickBot="1" x14ac:dyDescent="0.25">
      <c r="A34" s="18"/>
      <c r="B34" s="185">
        <v>12</v>
      </c>
      <c r="C34" s="218">
        <v>12360</v>
      </c>
      <c r="D34" s="219">
        <v>153.73134328358208</v>
      </c>
      <c r="E34" s="188">
        <f t="shared" si="3"/>
        <v>80.400000000000006</v>
      </c>
      <c r="F34" s="17"/>
      <c r="G34" s="18"/>
      <c r="H34" s="18"/>
      <c r="I34" s="18"/>
      <c r="J34" s="18"/>
      <c r="K34" s="18" t="s">
        <v>78</v>
      </c>
      <c r="L34" s="18"/>
      <c r="M34" s="117" t="s">
        <v>50</v>
      </c>
      <c r="N34" s="117"/>
      <c r="O34" s="117" t="s">
        <v>50</v>
      </c>
    </row>
    <row r="35" spans="1:15" ht="14.25" thickTop="1" thickBot="1" x14ac:dyDescent="0.25">
      <c r="A35" s="18"/>
      <c r="B35" s="185">
        <v>13</v>
      </c>
      <c r="C35" s="218">
        <v>13390</v>
      </c>
      <c r="D35" s="219">
        <v>153.73134328358208</v>
      </c>
      <c r="E35" s="188">
        <f t="shared" si="3"/>
        <v>87.100000000000009</v>
      </c>
      <c r="F35" s="17"/>
      <c r="G35" s="286" t="s">
        <v>40</v>
      </c>
      <c r="H35" s="287" t="s">
        <v>41</v>
      </c>
      <c r="I35" s="288" t="s">
        <v>42</v>
      </c>
      <c r="J35" s="18"/>
      <c r="K35" s="224">
        <f>160+4.5</f>
        <v>164.5</v>
      </c>
      <c r="L35" s="17">
        <v>1</v>
      </c>
      <c r="M35" s="224">
        <f>160-6</f>
        <v>154</v>
      </c>
      <c r="N35" s="269"/>
      <c r="O35" s="270">
        <f>K35-4.5</f>
        <v>160</v>
      </c>
    </row>
    <row r="36" spans="1:15" ht="13.5" thickBot="1" x14ac:dyDescent="0.25">
      <c r="A36" s="18"/>
      <c r="B36" s="185">
        <v>14</v>
      </c>
      <c r="C36" s="218">
        <v>14420</v>
      </c>
      <c r="D36" s="219">
        <v>153.73134328358211</v>
      </c>
      <c r="E36" s="188">
        <f t="shared" si="3"/>
        <v>93.8</v>
      </c>
      <c r="F36" s="17"/>
      <c r="G36" s="289" t="s">
        <v>79</v>
      </c>
      <c r="H36" s="290">
        <v>1</v>
      </c>
      <c r="I36" s="291">
        <v>22</v>
      </c>
      <c r="J36" s="17"/>
      <c r="K36" s="225">
        <f>192+4.5</f>
        <v>196.5</v>
      </c>
      <c r="L36" s="17">
        <v>2</v>
      </c>
      <c r="M36" s="225">
        <f>192-6</f>
        <v>186</v>
      </c>
      <c r="N36" s="226">
        <f>VLOOKUP('King Air Loading Calculations'!G9,H36:K39,2,FALSE)</f>
        <v>22</v>
      </c>
      <c r="O36" s="271">
        <f t="shared" ref="O36:O39" si="4">K36-4.5</f>
        <v>192</v>
      </c>
    </row>
    <row r="37" spans="1:15" ht="13.5" thickBot="1" x14ac:dyDescent="0.25">
      <c r="A37" s="18"/>
      <c r="B37" s="185">
        <v>15</v>
      </c>
      <c r="C37" s="218">
        <v>15450</v>
      </c>
      <c r="D37" s="219">
        <v>153.73134328358208</v>
      </c>
      <c r="E37" s="188">
        <f t="shared" si="3"/>
        <v>100.5</v>
      </c>
      <c r="F37" s="17"/>
      <c r="G37" s="289" t="s">
        <v>39</v>
      </c>
      <c r="H37" s="292">
        <v>2</v>
      </c>
      <c r="I37" s="293">
        <v>22.5</v>
      </c>
      <c r="J37" s="117" t="s">
        <v>45</v>
      </c>
      <c r="K37" s="225">
        <f>221+4.5</f>
        <v>225.5</v>
      </c>
      <c r="L37" s="17">
        <v>3</v>
      </c>
      <c r="M37" s="225">
        <f>221-6</f>
        <v>215</v>
      </c>
      <c r="N37" s="18"/>
      <c r="O37" s="271">
        <f t="shared" si="4"/>
        <v>221</v>
      </c>
    </row>
    <row r="38" spans="1:15" x14ac:dyDescent="0.2">
      <c r="A38" s="18"/>
      <c r="B38" s="185">
        <v>16</v>
      </c>
      <c r="C38" s="218">
        <v>16480</v>
      </c>
      <c r="D38" s="219">
        <v>153.73134328358208</v>
      </c>
      <c r="E38" s="188">
        <f t="shared" si="3"/>
        <v>107.2</v>
      </c>
      <c r="F38" s="17"/>
      <c r="G38" s="289" t="s">
        <v>77</v>
      </c>
      <c r="H38" s="294">
        <v>3</v>
      </c>
      <c r="I38" s="295">
        <v>19.5</v>
      </c>
      <c r="J38" s="17"/>
      <c r="K38" s="225">
        <f>250+4.5</f>
        <v>254.5</v>
      </c>
      <c r="L38" s="17">
        <v>4</v>
      </c>
      <c r="M38" s="225">
        <f>250-6</f>
        <v>244</v>
      </c>
      <c r="N38" s="18"/>
      <c r="O38" s="271">
        <f t="shared" si="4"/>
        <v>250</v>
      </c>
    </row>
    <row r="39" spans="1:15" ht="13.5" thickBot="1" x14ac:dyDescent="0.25">
      <c r="A39" s="18"/>
      <c r="B39" s="185">
        <v>17</v>
      </c>
      <c r="C39" s="218">
        <v>17510</v>
      </c>
      <c r="D39" s="219">
        <v>153.73134328358208</v>
      </c>
      <c r="E39" s="188">
        <f t="shared" si="3"/>
        <v>113.9</v>
      </c>
      <c r="F39" s="17"/>
      <c r="G39" s="296" t="s">
        <v>165</v>
      </c>
      <c r="H39" s="297">
        <v>4</v>
      </c>
      <c r="I39" s="298">
        <v>15</v>
      </c>
      <c r="J39" s="17"/>
      <c r="K39" s="229">
        <f>279+4.5</f>
        <v>283.5</v>
      </c>
      <c r="L39" s="17">
        <v>5</v>
      </c>
      <c r="M39" s="229">
        <f>279-6</f>
        <v>273</v>
      </c>
      <c r="N39" s="18"/>
      <c r="O39" s="272">
        <f t="shared" si="4"/>
        <v>279</v>
      </c>
    </row>
    <row r="40" spans="1:15" ht="14.25" thickTop="1" thickBot="1" x14ac:dyDescent="0.25">
      <c r="A40" s="18"/>
      <c r="B40" s="185">
        <v>18</v>
      </c>
      <c r="C40" s="218">
        <v>18540</v>
      </c>
      <c r="D40" s="219">
        <v>153.73134328358208</v>
      </c>
      <c r="E40" s="188">
        <f t="shared" si="3"/>
        <v>120.60000000000001</v>
      </c>
      <c r="F40" s="17"/>
      <c r="G40" s="17"/>
      <c r="H40" s="17"/>
      <c r="I40" s="117" t="s">
        <v>42</v>
      </c>
      <c r="J40" s="117" t="s">
        <v>11</v>
      </c>
      <c r="K40" s="117" t="s">
        <v>26</v>
      </c>
      <c r="L40" s="18"/>
      <c r="M40" s="18"/>
      <c r="N40" s="18"/>
    </row>
    <row r="41" spans="1:15" x14ac:dyDescent="0.2">
      <c r="A41" s="18"/>
      <c r="B41" s="185">
        <v>19</v>
      </c>
      <c r="C41" s="218">
        <v>19570</v>
      </c>
      <c r="D41" s="219">
        <v>153.73134328358211</v>
      </c>
      <c r="E41" s="188">
        <f t="shared" si="3"/>
        <v>127.3</v>
      </c>
      <c r="F41" s="17"/>
      <c r="G41" s="17" t="s">
        <v>43</v>
      </c>
      <c r="H41" s="230">
        <v>1</v>
      </c>
      <c r="I41" s="348" t="s">
        <v>44</v>
      </c>
      <c r="J41" s="349"/>
      <c r="K41" s="350"/>
      <c r="L41" s="18"/>
      <c r="M41" s="18"/>
      <c r="N41" s="18"/>
    </row>
    <row r="42" spans="1:15" x14ac:dyDescent="0.2">
      <c r="A42" s="18"/>
      <c r="B42" s="185">
        <v>20</v>
      </c>
      <c r="C42" s="231">
        <v>20600</v>
      </c>
      <c r="D42" s="219">
        <v>153.73134328358208</v>
      </c>
      <c r="E42" s="188">
        <f t="shared" si="3"/>
        <v>134</v>
      </c>
      <c r="F42" s="17"/>
      <c r="G42" s="17"/>
      <c r="H42" s="227">
        <v>2</v>
      </c>
      <c r="I42" s="232">
        <f>2*Installed_Seat_WT</f>
        <v>44</v>
      </c>
      <c r="J42" s="233">
        <f t="shared" ref="J42:J48" si="5">K42/I42</f>
        <v>164.5</v>
      </c>
      <c r="K42" s="234">
        <f>(2*Installed_Seat_WT*K35)</f>
        <v>7238</v>
      </c>
      <c r="L42" s="18"/>
      <c r="M42" s="18"/>
      <c r="N42" s="18"/>
    </row>
    <row r="43" spans="1:15" x14ac:dyDescent="0.2">
      <c r="A43" s="18"/>
      <c r="B43" s="185">
        <v>21</v>
      </c>
      <c r="C43" s="218">
        <v>21730</v>
      </c>
      <c r="D43" s="219">
        <v>154.44207533759771</v>
      </c>
      <c r="E43" s="188">
        <f t="shared" si="3"/>
        <v>140.70000000000002</v>
      </c>
      <c r="F43" s="17"/>
      <c r="G43" s="17"/>
      <c r="H43" s="227">
        <v>3</v>
      </c>
      <c r="I43" s="235">
        <f>4*Installed_Seat_WT</f>
        <v>88</v>
      </c>
      <c r="J43" s="236">
        <f t="shared" si="5"/>
        <v>180.5</v>
      </c>
      <c r="K43" s="237">
        <f>(2*N36*K35)+(2*N36*K36)</f>
        <v>15884</v>
      </c>
      <c r="L43" s="238" t="s">
        <v>51</v>
      </c>
      <c r="M43" s="238"/>
      <c r="N43" s="238"/>
    </row>
    <row r="44" spans="1:15" x14ac:dyDescent="0.2">
      <c r="A44" s="18"/>
      <c r="B44" s="185">
        <v>22</v>
      </c>
      <c r="C44" s="218">
        <v>22860</v>
      </c>
      <c r="D44" s="219">
        <v>155.08819538670284</v>
      </c>
      <c r="E44" s="188">
        <f t="shared" si="3"/>
        <v>147.4</v>
      </c>
      <c r="F44" s="17"/>
      <c r="G44" s="17"/>
      <c r="H44" s="227">
        <v>4</v>
      </c>
      <c r="I44" s="235">
        <f>6*Installed_Seat_WT</f>
        <v>132</v>
      </c>
      <c r="J44" s="236">
        <f t="shared" si="5"/>
        <v>195.5</v>
      </c>
      <c r="K44" s="237">
        <f>(2*Installed_Seat_WT*K35)+(2*Installed_Seat_WT*K36)+(2*Installed_Seat_WT*K37)</f>
        <v>25806</v>
      </c>
      <c r="L44" s="18"/>
      <c r="M44" s="18"/>
      <c r="N44" s="18"/>
    </row>
    <row r="45" spans="1:15" x14ac:dyDescent="0.2">
      <c r="A45" s="18"/>
      <c r="B45" s="185">
        <v>23</v>
      </c>
      <c r="C45" s="218">
        <v>23990</v>
      </c>
      <c r="D45" s="219">
        <v>155.67813108371189</v>
      </c>
      <c r="E45" s="188">
        <f t="shared" si="3"/>
        <v>154.1</v>
      </c>
      <c r="F45" s="17"/>
      <c r="G45" s="17"/>
      <c r="H45" s="227">
        <v>5</v>
      </c>
      <c r="I45" s="235">
        <f>8*Installed_Seat_WT</f>
        <v>176</v>
      </c>
      <c r="J45" s="236">
        <f t="shared" si="5"/>
        <v>210.25</v>
      </c>
      <c r="K45" s="237">
        <f>(2*Installed_Seat_WT*K35)+(2*Installed_Seat_WT*K36)+(2*Installed_Seat_WT*K37)+(2*Installed_Seat_WT*K38)</f>
        <v>37004</v>
      </c>
      <c r="L45" s="18"/>
      <c r="M45" s="18"/>
      <c r="N45" s="18"/>
    </row>
    <row r="46" spans="1:15" x14ac:dyDescent="0.2">
      <c r="A46" s="18"/>
      <c r="B46" s="185">
        <v>24</v>
      </c>
      <c r="C46" s="218">
        <v>25120</v>
      </c>
      <c r="D46" s="219">
        <v>156.21890547263681</v>
      </c>
      <c r="E46" s="188">
        <f t="shared" si="3"/>
        <v>160.80000000000001</v>
      </c>
      <c r="F46" s="17"/>
      <c r="G46" s="17"/>
      <c r="H46" s="227">
        <v>6</v>
      </c>
      <c r="I46" s="235">
        <f>4*Installed_Seat_WT</f>
        <v>88</v>
      </c>
      <c r="J46" s="236">
        <f t="shared" si="5"/>
        <v>210.25</v>
      </c>
      <c r="K46" s="237">
        <f>(1*Installed_Seat_WT*K35)+(1*Installed_Seat_WT*K36)+(1*Installed_Seat_WT*K37)+(1*Installed_Seat_WT*K38)</f>
        <v>18502</v>
      </c>
      <c r="L46" s="18"/>
      <c r="M46" s="18"/>
      <c r="N46" s="18"/>
    </row>
    <row r="47" spans="1:15" x14ac:dyDescent="0.2">
      <c r="A47" s="18"/>
      <c r="B47" s="185">
        <v>25</v>
      </c>
      <c r="C47" s="218">
        <v>26250</v>
      </c>
      <c r="D47" s="219">
        <v>156.71641791044777</v>
      </c>
      <c r="E47" s="188">
        <f t="shared" si="3"/>
        <v>167.5</v>
      </c>
      <c r="F47" s="17"/>
      <c r="G47" s="17"/>
      <c r="H47" s="227">
        <v>7</v>
      </c>
      <c r="I47" s="235">
        <f>5*Installed_Seat_WT</f>
        <v>110</v>
      </c>
      <c r="J47" s="236">
        <f t="shared" si="5"/>
        <v>189.5</v>
      </c>
      <c r="K47" s="237">
        <f>(2*Installed_Seat_WT*K35)+(2*Installed_Seat_WT*K36)+(1*Installed_Seat_WT*K37)</f>
        <v>20845</v>
      </c>
      <c r="L47" s="18"/>
      <c r="M47" s="18"/>
      <c r="N47" s="18"/>
    </row>
    <row r="48" spans="1:15" ht="13.5" thickBot="1" x14ac:dyDescent="0.25">
      <c r="A48" s="18"/>
      <c r="B48" s="185">
        <v>26</v>
      </c>
      <c r="C48" s="218">
        <v>27380</v>
      </c>
      <c r="D48" s="219">
        <v>157.17566016073476</v>
      </c>
      <c r="E48" s="188">
        <f t="shared" si="3"/>
        <v>174.20000000000002</v>
      </c>
      <c r="F48" s="17"/>
      <c r="G48" s="17"/>
      <c r="H48" s="228">
        <v>8</v>
      </c>
      <c r="I48" s="239">
        <f>9*Installed_Seat_WT</f>
        <v>198</v>
      </c>
      <c r="J48" s="240">
        <f t="shared" si="5"/>
        <v>218.38888888888889</v>
      </c>
      <c r="K48" s="241">
        <f>(2*Installed_Seat_WT*K35)+(2*Installed_Seat_WT*K36)+(2*Installed_Seat_WT*K37)+(2*Installed_Seat_WT*K38)+(1*Installed_Seat_WT*K39)</f>
        <v>43241</v>
      </c>
      <c r="L48" s="18"/>
      <c r="M48" s="18"/>
      <c r="N48" s="18"/>
    </row>
    <row r="49" spans="1:13" x14ac:dyDescent="0.2">
      <c r="A49" s="18"/>
      <c r="B49" s="185">
        <v>27</v>
      </c>
      <c r="C49" s="218">
        <v>28510</v>
      </c>
      <c r="D49" s="219">
        <v>157.6008844665561</v>
      </c>
      <c r="E49" s="188">
        <f t="shared" si="3"/>
        <v>180.9</v>
      </c>
      <c r="F49" s="17"/>
    </row>
    <row r="50" spans="1:13" x14ac:dyDescent="0.2">
      <c r="A50" s="18"/>
      <c r="B50" s="185">
        <v>28</v>
      </c>
      <c r="C50" s="218">
        <v>29640</v>
      </c>
      <c r="D50" s="219">
        <v>157.9957356076759</v>
      </c>
      <c r="E50" s="188">
        <f t="shared" si="3"/>
        <v>187.6</v>
      </c>
      <c r="F50" s="17"/>
    </row>
    <row r="51" spans="1:13" x14ac:dyDescent="0.2">
      <c r="A51" s="18"/>
      <c r="B51" s="185">
        <v>29</v>
      </c>
      <c r="C51" s="218">
        <v>30770</v>
      </c>
      <c r="D51" s="219">
        <v>158.36335563561502</v>
      </c>
      <c r="E51" s="188">
        <f t="shared" si="3"/>
        <v>194.3</v>
      </c>
      <c r="F51" s="17"/>
      <c r="H51" s="18"/>
      <c r="I51" s="17"/>
      <c r="J51" s="116" t="s">
        <v>28</v>
      </c>
      <c r="K51" s="18"/>
      <c r="L51" s="18"/>
      <c r="M51" s="18"/>
    </row>
    <row r="52" spans="1:13" x14ac:dyDescent="0.2">
      <c r="A52" s="18"/>
      <c r="B52" s="185">
        <v>30</v>
      </c>
      <c r="C52" s="231">
        <v>31900</v>
      </c>
      <c r="D52" s="219">
        <v>158.70646766169153</v>
      </c>
      <c r="E52" s="188">
        <f t="shared" si="3"/>
        <v>201</v>
      </c>
      <c r="F52" s="17"/>
      <c r="H52" s="18"/>
      <c r="I52" s="17"/>
      <c r="J52" s="17"/>
      <c r="K52" s="18"/>
      <c r="L52" s="18"/>
      <c r="M52" s="18"/>
    </row>
    <row r="53" spans="1:13" x14ac:dyDescent="0.2">
      <c r="A53" s="18"/>
      <c r="B53" s="185">
        <v>31</v>
      </c>
      <c r="C53" s="218">
        <v>33140</v>
      </c>
      <c r="D53" s="219">
        <v>159.55705344246508</v>
      </c>
      <c r="E53" s="188">
        <f t="shared" si="3"/>
        <v>207.70000000000002</v>
      </c>
      <c r="F53" s="17"/>
      <c r="H53" s="351" t="s">
        <v>21</v>
      </c>
      <c r="I53" s="352"/>
      <c r="J53" s="352"/>
      <c r="K53" s="352"/>
      <c r="L53" s="352"/>
      <c r="M53" s="352"/>
    </row>
    <row r="54" spans="1:13" x14ac:dyDescent="0.2">
      <c r="A54" s="18"/>
      <c r="B54" s="185">
        <v>32</v>
      </c>
      <c r="C54" s="218">
        <v>34380</v>
      </c>
      <c r="D54" s="219">
        <v>160.3544776119403</v>
      </c>
      <c r="E54" s="188">
        <f t="shared" si="3"/>
        <v>214.4</v>
      </c>
      <c r="F54" s="17"/>
      <c r="H54" s="17"/>
      <c r="I54" s="117" t="s">
        <v>25</v>
      </c>
      <c r="J54" s="242" t="s">
        <v>26</v>
      </c>
      <c r="K54" s="242" t="s">
        <v>27</v>
      </c>
      <c r="L54" s="18"/>
      <c r="M54" s="18"/>
    </row>
    <row r="55" spans="1:13" ht="13.5" thickBot="1" x14ac:dyDescent="0.25">
      <c r="A55" s="18"/>
      <c r="B55" s="185">
        <v>33</v>
      </c>
      <c r="C55" s="218">
        <v>35620</v>
      </c>
      <c r="D55" s="219">
        <v>161.10357304387156</v>
      </c>
      <c r="E55" s="188">
        <f t="shared" si="3"/>
        <v>221.1</v>
      </c>
      <c r="F55" s="17"/>
      <c r="H55" s="17"/>
      <c r="I55" s="243">
        <v>7200</v>
      </c>
      <c r="J55" s="115">
        <v>1303200</v>
      </c>
      <c r="K55" s="244">
        <v>181</v>
      </c>
      <c r="L55" s="18"/>
      <c r="M55" s="18"/>
    </row>
    <row r="56" spans="1:13" x14ac:dyDescent="0.2">
      <c r="A56" s="18"/>
      <c r="B56" s="185">
        <v>34</v>
      </c>
      <c r="C56" s="218">
        <v>36860</v>
      </c>
      <c r="D56" s="219">
        <v>161.80860403863036</v>
      </c>
      <c r="E56" s="188">
        <f t="shared" si="3"/>
        <v>227.8</v>
      </c>
      <c r="F56" s="17"/>
      <c r="H56" s="17"/>
      <c r="I56" s="243">
        <v>7250</v>
      </c>
      <c r="J56" s="115">
        <v>1312200</v>
      </c>
      <c r="K56" s="244">
        <v>181</v>
      </c>
      <c r="L56" s="353" t="s">
        <v>29</v>
      </c>
      <c r="M56" s="18"/>
    </row>
    <row r="57" spans="1:13" x14ac:dyDescent="0.2">
      <c r="A57" s="18"/>
      <c r="B57" s="185">
        <v>35</v>
      </c>
      <c r="C57" s="218">
        <v>38100</v>
      </c>
      <c r="D57" s="219">
        <v>162.47334754797441</v>
      </c>
      <c r="E57" s="188">
        <f t="shared" si="3"/>
        <v>234.5</v>
      </c>
      <c r="F57" s="17"/>
      <c r="H57" s="17"/>
      <c r="I57" s="243">
        <v>7300</v>
      </c>
      <c r="J57" s="115">
        <v>1321300</v>
      </c>
      <c r="K57" s="244">
        <v>181</v>
      </c>
      <c r="L57" s="354"/>
      <c r="M57" s="18"/>
    </row>
    <row r="58" spans="1:13" x14ac:dyDescent="0.2">
      <c r="A58" s="18"/>
      <c r="B58" s="185">
        <v>36</v>
      </c>
      <c r="C58" s="218">
        <v>39340</v>
      </c>
      <c r="D58" s="219">
        <v>163.10116086235487</v>
      </c>
      <c r="E58" s="188">
        <f t="shared" si="3"/>
        <v>241.20000000000002</v>
      </c>
      <c r="F58" s="17"/>
      <c r="H58" s="17"/>
      <c r="I58" s="243">
        <v>7350</v>
      </c>
      <c r="J58" s="115">
        <v>1330400</v>
      </c>
      <c r="K58" s="244">
        <v>181</v>
      </c>
      <c r="L58" s="354"/>
      <c r="M58" s="18"/>
    </row>
    <row r="59" spans="1:13" x14ac:dyDescent="0.2">
      <c r="A59" s="18"/>
      <c r="B59" s="185">
        <v>37</v>
      </c>
      <c r="C59" s="218">
        <v>40580</v>
      </c>
      <c r="D59" s="219">
        <v>163.69503832190398</v>
      </c>
      <c r="E59" s="188">
        <f t="shared" si="3"/>
        <v>247.9</v>
      </c>
      <c r="F59" s="17"/>
      <c r="H59" s="17"/>
      <c r="I59" s="243">
        <v>7400</v>
      </c>
      <c r="J59" s="115">
        <v>1339400</v>
      </c>
      <c r="K59" s="244">
        <v>181</v>
      </c>
      <c r="L59" s="354"/>
      <c r="M59" s="18"/>
    </row>
    <row r="60" spans="1:13" x14ac:dyDescent="0.2">
      <c r="A60" s="18"/>
      <c r="B60" s="185">
        <v>38</v>
      </c>
      <c r="C60" s="218">
        <v>41820</v>
      </c>
      <c r="D60" s="219">
        <v>164.25765907305578</v>
      </c>
      <c r="E60" s="188">
        <f t="shared" si="3"/>
        <v>254.6</v>
      </c>
      <c r="F60" s="17"/>
      <c r="H60" s="17"/>
      <c r="I60" s="17"/>
      <c r="J60" s="18"/>
      <c r="K60" s="18"/>
      <c r="L60" s="354"/>
      <c r="M60" s="18"/>
    </row>
    <row r="61" spans="1:13" x14ac:dyDescent="0.2">
      <c r="A61" s="18"/>
      <c r="B61" s="185">
        <v>39</v>
      </c>
      <c r="C61" s="218">
        <v>43060</v>
      </c>
      <c r="D61" s="219">
        <v>164.79142747799463</v>
      </c>
      <c r="E61" s="188">
        <f t="shared" si="3"/>
        <v>261.3</v>
      </c>
      <c r="F61" s="17"/>
      <c r="H61" s="17"/>
      <c r="I61" s="17"/>
      <c r="J61" s="18"/>
      <c r="K61" s="18"/>
      <c r="L61" s="354"/>
      <c r="M61" s="18"/>
    </row>
    <row r="62" spans="1:13" x14ac:dyDescent="0.2">
      <c r="A62" s="18"/>
      <c r="B62" s="185">
        <v>40</v>
      </c>
      <c r="C62" s="186">
        <v>44300</v>
      </c>
      <c r="D62" s="219">
        <v>165.29850746268656</v>
      </c>
      <c r="E62" s="188">
        <f t="shared" si="3"/>
        <v>268</v>
      </c>
      <c r="F62" s="17"/>
      <c r="H62" s="17"/>
      <c r="I62" s="243">
        <v>11250</v>
      </c>
      <c r="J62" s="115">
        <v>2036200</v>
      </c>
      <c r="K62" s="244">
        <v>181</v>
      </c>
      <c r="L62" s="354"/>
      <c r="M62" s="18"/>
    </row>
    <row r="63" spans="1:13" x14ac:dyDescent="0.2">
      <c r="A63" s="18"/>
      <c r="B63" s="185">
        <v>41</v>
      </c>
      <c r="C63" s="218">
        <v>45540</v>
      </c>
      <c r="D63" s="219">
        <v>165.78085183836913</v>
      </c>
      <c r="E63" s="188">
        <f t="shared" si="3"/>
        <v>274.7</v>
      </c>
      <c r="F63" s="17"/>
      <c r="H63" s="17"/>
      <c r="I63" s="245">
        <v>11279</v>
      </c>
      <c r="J63" s="246"/>
      <c r="K63" s="247">
        <v>181</v>
      </c>
      <c r="L63" s="354"/>
      <c r="M63" s="18"/>
    </row>
    <row r="64" spans="1:13" x14ac:dyDescent="0.2">
      <c r="A64" s="18"/>
      <c r="B64" s="185">
        <v>42</v>
      </c>
      <c r="C64" s="218">
        <v>46780</v>
      </c>
      <c r="D64" s="219">
        <v>166.24022743425726</v>
      </c>
      <c r="E64" s="188">
        <f t="shared" si="3"/>
        <v>281.40000000000003</v>
      </c>
      <c r="F64" s="17"/>
      <c r="H64" s="17"/>
      <c r="I64" s="243">
        <v>11300</v>
      </c>
      <c r="J64" s="115">
        <v>2046100</v>
      </c>
      <c r="K64" s="244">
        <f t="shared" ref="K64:K88" si="6">J64/I64</f>
        <v>181.07079646017698</v>
      </c>
      <c r="L64" s="248">
        <f>IF('King Air Loading Calculations'!G16&lt;I64,K64,L65)</f>
        <v>185</v>
      </c>
      <c r="M64" s="18"/>
    </row>
    <row r="65" spans="1:13" x14ac:dyDescent="0.2">
      <c r="A65" s="18"/>
      <c r="B65" s="185">
        <v>43</v>
      </c>
      <c r="C65" s="218">
        <v>48020</v>
      </c>
      <c r="D65" s="219">
        <v>166.67823672335993</v>
      </c>
      <c r="E65" s="188">
        <f t="shared" si="3"/>
        <v>288.10000000000002</v>
      </c>
      <c r="F65" s="17"/>
      <c r="H65" s="17"/>
      <c r="I65" s="243">
        <v>11350</v>
      </c>
      <c r="J65" s="115">
        <v>2057000</v>
      </c>
      <c r="K65" s="244">
        <f t="shared" si="6"/>
        <v>181.23348017621146</v>
      </c>
      <c r="L65" s="248">
        <f>IF('King Air Loading Calculations'!G16&lt;I65,K65,L66)</f>
        <v>185</v>
      </c>
      <c r="M65" s="18"/>
    </row>
    <row r="66" spans="1:13" x14ac:dyDescent="0.2">
      <c r="A66" s="18"/>
      <c r="B66" s="185">
        <v>44</v>
      </c>
      <c r="C66" s="218">
        <v>49260</v>
      </c>
      <c r="D66" s="219">
        <v>167.09633649932158</v>
      </c>
      <c r="E66" s="188">
        <f t="shared" si="3"/>
        <v>294.8</v>
      </c>
      <c r="F66" s="17"/>
      <c r="H66" s="17"/>
      <c r="I66" s="243">
        <v>11400</v>
      </c>
      <c r="J66" s="115">
        <v>2067900</v>
      </c>
      <c r="K66" s="244">
        <f t="shared" si="6"/>
        <v>181.39473684210526</v>
      </c>
      <c r="L66" s="248">
        <f>IF('King Air Loading Calculations'!G16&lt;I66,K66,L67)</f>
        <v>185</v>
      </c>
      <c r="M66" s="18"/>
    </row>
    <row r="67" spans="1:13" x14ac:dyDescent="0.2">
      <c r="A67" s="18"/>
      <c r="B67" s="185">
        <v>45</v>
      </c>
      <c r="C67" s="218">
        <v>50500</v>
      </c>
      <c r="D67" s="219">
        <v>167.49585406301824</v>
      </c>
      <c r="E67" s="188">
        <f t="shared" si="3"/>
        <v>301.5</v>
      </c>
      <c r="F67" s="17"/>
      <c r="H67" s="17"/>
      <c r="I67" s="243">
        <v>11450</v>
      </c>
      <c r="J67" s="115">
        <v>2078900</v>
      </c>
      <c r="K67" s="244">
        <f t="shared" si="6"/>
        <v>181.56331877729258</v>
      </c>
      <c r="L67" s="248">
        <f>IF('King Air Loading Calculations'!G16&lt;I67,K67,L68)</f>
        <v>185</v>
      </c>
      <c r="M67" s="18"/>
    </row>
    <row r="68" spans="1:13" x14ac:dyDescent="0.2">
      <c r="A68" s="18"/>
      <c r="B68" s="185">
        <v>46</v>
      </c>
      <c r="C68" s="218">
        <v>51740</v>
      </c>
      <c r="D68" s="219">
        <v>167.87800129785853</v>
      </c>
      <c r="E68" s="188">
        <f t="shared" si="3"/>
        <v>308.2</v>
      </c>
      <c r="F68" s="17"/>
      <c r="H68" s="17"/>
      <c r="I68" s="243">
        <v>11500</v>
      </c>
      <c r="J68" s="115">
        <v>2089800</v>
      </c>
      <c r="K68" s="244">
        <f t="shared" si="6"/>
        <v>181.72173913043477</v>
      </c>
      <c r="L68" s="248">
        <f>IF('King Air Loading Calculations'!G16&lt;I68,K68,L69)</f>
        <v>185</v>
      </c>
      <c r="M68" s="18"/>
    </row>
    <row r="69" spans="1:13" x14ac:dyDescent="0.2">
      <c r="A69" s="18"/>
      <c r="B69" s="185">
        <v>47</v>
      </c>
      <c r="C69" s="218">
        <v>52980</v>
      </c>
      <c r="D69" s="219">
        <v>168.24388694823753</v>
      </c>
      <c r="E69" s="188">
        <f t="shared" si="3"/>
        <v>314.90000000000003</v>
      </c>
      <c r="F69" s="17"/>
      <c r="H69" s="17"/>
      <c r="I69" s="243">
        <v>11550</v>
      </c>
      <c r="J69" s="115">
        <v>2100800</v>
      </c>
      <c r="K69" s="244">
        <f t="shared" si="6"/>
        <v>181.88744588744589</v>
      </c>
      <c r="L69" s="248">
        <f>IF('King Air Loading Calculations'!G16&lt;I69,K69,L70)</f>
        <v>185</v>
      </c>
      <c r="M69" s="18"/>
    </row>
    <row r="70" spans="1:13" x14ac:dyDescent="0.2">
      <c r="A70" s="18"/>
      <c r="B70" s="185">
        <v>48</v>
      </c>
      <c r="C70" s="218">
        <v>54220</v>
      </c>
      <c r="D70" s="219">
        <v>168.59452736318406</v>
      </c>
      <c r="E70" s="188">
        <f t="shared" si="3"/>
        <v>321.60000000000002</v>
      </c>
      <c r="F70" s="17"/>
      <c r="H70" s="17"/>
      <c r="I70" s="243">
        <v>11600</v>
      </c>
      <c r="J70" s="115">
        <v>2111800</v>
      </c>
      <c r="K70" s="244">
        <f t="shared" si="6"/>
        <v>182.05172413793105</v>
      </c>
      <c r="L70" s="248">
        <f>IF('King Air Loading Calculations'!G16&lt;I70,K70,L71)</f>
        <v>185</v>
      </c>
      <c r="M70" s="18"/>
    </row>
    <row r="71" spans="1:13" x14ac:dyDescent="0.2">
      <c r="A71" s="18"/>
      <c r="B71" s="185">
        <v>49</v>
      </c>
      <c r="C71" s="218">
        <v>55460</v>
      </c>
      <c r="D71" s="219">
        <v>168.93085592445934</v>
      </c>
      <c r="E71" s="188">
        <f t="shared" si="3"/>
        <v>328.3</v>
      </c>
      <c r="F71" s="17"/>
      <c r="H71" s="17"/>
      <c r="I71" s="243">
        <v>11650</v>
      </c>
      <c r="J71" s="115">
        <v>2122800</v>
      </c>
      <c r="K71" s="244">
        <f t="shared" si="6"/>
        <v>182.21459227467813</v>
      </c>
      <c r="L71" s="248">
        <f>IF('King Air Loading Calculations'!G16&lt;I71,K71,L72)</f>
        <v>185</v>
      </c>
      <c r="M71" s="18"/>
    </row>
    <row r="72" spans="1:13" x14ac:dyDescent="0.2">
      <c r="A72" s="18"/>
      <c r="B72" s="185">
        <v>50</v>
      </c>
      <c r="C72" s="186">
        <v>56700</v>
      </c>
      <c r="D72" s="219">
        <v>169.25373134328359</v>
      </c>
      <c r="E72" s="188">
        <f t="shared" si="3"/>
        <v>335</v>
      </c>
      <c r="F72" s="17"/>
      <c r="H72" s="17"/>
      <c r="I72" s="243">
        <v>11700</v>
      </c>
      <c r="J72" s="115">
        <v>2133800</v>
      </c>
      <c r="K72" s="244">
        <f t="shared" si="6"/>
        <v>182.37606837606839</v>
      </c>
      <c r="L72" s="248">
        <f>IF('King Air Loading Calculations'!G16&lt;I72,K72,L73)</f>
        <v>185</v>
      </c>
      <c r="M72" s="18"/>
    </row>
    <row r="73" spans="1:13" x14ac:dyDescent="0.2">
      <c r="A73" s="18"/>
      <c r="B73" s="185">
        <v>51</v>
      </c>
      <c r="C73" s="218">
        <v>57960</v>
      </c>
      <c r="D73" s="219">
        <v>169.62247585601406</v>
      </c>
      <c r="E73" s="188">
        <f t="shared" si="3"/>
        <v>341.7</v>
      </c>
      <c r="F73" s="17"/>
      <c r="H73" s="17"/>
      <c r="I73" s="243">
        <v>11750</v>
      </c>
      <c r="J73" s="115">
        <v>2144900</v>
      </c>
      <c r="K73" s="244">
        <f t="shared" si="6"/>
        <v>182.54468085106382</v>
      </c>
      <c r="L73" s="248">
        <f>IF('King Air Loading Calculations'!G16&lt;I73,K73,L74)</f>
        <v>185</v>
      </c>
      <c r="M73" s="18"/>
    </row>
    <row r="74" spans="1:13" x14ac:dyDescent="0.2">
      <c r="A74" s="18"/>
      <c r="B74" s="185">
        <v>52</v>
      </c>
      <c r="C74" s="218">
        <v>59200</v>
      </c>
      <c r="D74" s="219">
        <v>169.91963260619974</v>
      </c>
      <c r="E74" s="188">
        <f t="shared" si="3"/>
        <v>348.40000000000003</v>
      </c>
      <c r="F74" s="17"/>
      <c r="H74" s="17"/>
      <c r="I74" s="243">
        <v>11800</v>
      </c>
      <c r="J74" s="115">
        <v>2155900</v>
      </c>
      <c r="K74" s="244">
        <f t="shared" si="6"/>
        <v>182.70338983050848</v>
      </c>
      <c r="L74" s="248">
        <f>IF('King Air Loading Calculations'!G16&lt;I74,K74,L75)</f>
        <v>185</v>
      </c>
      <c r="M74" s="18"/>
    </row>
    <row r="75" spans="1:13" x14ac:dyDescent="0.2">
      <c r="A75" s="18"/>
      <c r="B75" s="185">
        <v>53</v>
      </c>
      <c r="C75" s="218">
        <v>60460</v>
      </c>
      <c r="D75" s="219">
        <v>170.26189805688537</v>
      </c>
      <c r="E75" s="188">
        <f t="shared" si="3"/>
        <v>355.1</v>
      </c>
      <c r="F75" s="17"/>
      <c r="H75" s="17"/>
      <c r="I75" s="243">
        <v>11850</v>
      </c>
      <c r="J75" s="115">
        <v>2167000</v>
      </c>
      <c r="K75" s="244">
        <f t="shared" si="6"/>
        <v>182.86919831223628</v>
      </c>
      <c r="L75" s="248">
        <f>IF('King Air Loading Calculations'!G16&lt;I75,K75,L76)</f>
        <v>185</v>
      </c>
      <c r="M75" s="18"/>
    </row>
    <row r="76" spans="1:13" x14ac:dyDescent="0.2">
      <c r="A76" s="18"/>
      <c r="B76" s="185">
        <v>54</v>
      </c>
      <c r="C76" s="218">
        <v>61720</v>
      </c>
      <c r="D76" s="219">
        <v>170.59148700939744</v>
      </c>
      <c r="E76" s="188">
        <f t="shared" si="3"/>
        <v>361.8</v>
      </c>
      <c r="F76" s="17"/>
      <c r="H76" s="17"/>
      <c r="I76" s="243">
        <v>11900</v>
      </c>
      <c r="J76" s="115">
        <v>2178100</v>
      </c>
      <c r="K76" s="244">
        <f t="shared" si="6"/>
        <v>183.03361344537817</v>
      </c>
      <c r="L76" s="248">
        <f>IF('King Air Loading Calculations'!G16&lt;I76,K76,L77)</f>
        <v>185</v>
      </c>
      <c r="M76" s="18"/>
    </row>
    <row r="77" spans="1:13" x14ac:dyDescent="0.2">
      <c r="A77" s="18"/>
      <c r="B77" s="185">
        <v>55</v>
      </c>
      <c r="C77" s="218">
        <v>62980</v>
      </c>
      <c r="D77" s="219">
        <v>170.90909090909091</v>
      </c>
      <c r="E77" s="188">
        <f t="shared" si="3"/>
        <v>368.5</v>
      </c>
      <c r="F77" s="17"/>
      <c r="H77" s="17"/>
      <c r="I77" s="243">
        <v>11950</v>
      </c>
      <c r="J77" s="115">
        <v>2189200</v>
      </c>
      <c r="K77" s="244">
        <f t="shared" si="6"/>
        <v>183.19665271966528</v>
      </c>
      <c r="L77" s="248">
        <f>IF('King Air Loading Calculations'!G16&lt;I77,K77,L78)</f>
        <v>185</v>
      </c>
      <c r="M77" s="18"/>
    </row>
    <row r="78" spans="1:13" x14ac:dyDescent="0.2">
      <c r="A78" s="18"/>
      <c r="B78" s="185">
        <v>56</v>
      </c>
      <c r="C78" s="218">
        <v>64240</v>
      </c>
      <c r="D78" s="219">
        <v>171.21535181236675</v>
      </c>
      <c r="E78" s="188">
        <f t="shared" si="3"/>
        <v>375.2</v>
      </c>
      <c r="F78" s="17"/>
      <c r="H78" s="17"/>
      <c r="I78" s="243">
        <v>12000</v>
      </c>
      <c r="J78" s="115">
        <v>2200300</v>
      </c>
      <c r="K78" s="244">
        <f t="shared" si="6"/>
        <v>183.35833333333332</v>
      </c>
      <c r="L78" s="248">
        <f>IF('King Air Loading Calculations'!G16&lt;I78,K78,L79)</f>
        <v>185</v>
      </c>
      <c r="M78" s="18"/>
    </row>
    <row r="79" spans="1:13" x14ac:dyDescent="0.2">
      <c r="A79" s="18"/>
      <c r="B79" s="185">
        <v>57</v>
      </c>
      <c r="C79" s="218">
        <v>65500</v>
      </c>
      <c r="D79" s="219">
        <v>171.51086671903639</v>
      </c>
      <c r="E79" s="188">
        <f t="shared" si="3"/>
        <v>381.90000000000003</v>
      </c>
      <c r="F79" s="17"/>
      <c r="H79" s="17"/>
      <c r="I79" s="243">
        <v>12050</v>
      </c>
      <c r="J79" s="115">
        <v>2211500</v>
      </c>
      <c r="K79" s="244">
        <f t="shared" si="6"/>
        <v>183.52697095435684</v>
      </c>
      <c r="L79" s="248">
        <f>IF('King Air Loading Calculations'!G16&lt;I79,K79,L80)</f>
        <v>185</v>
      </c>
      <c r="M79" s="18"/>
    </row>
    <row r="80" spans="1:13" x14ac:dyDescent="0.2">
      <c r="A80" s="18"/>
      <c r="B80" s="185">
        <v>58</v>
      </c>
      <c r="C80" s="218">
        <v>66760</v>
      </c>
      <c r="D80" s="219">
        <v>171.79619145651054</v>
      </c>
      <c r="E80" s="188">
        <f t="shared" si="3"/>
        <v>388.6</v>
      </c>
      <c r="F80" s="17"/>
      <c r="H80" s="17"/>
      <c r="I80" s="243">
        <v>12100</v>
      </c>
      <c r="J80" s="115">
        <v>2222600</v>
      </c>
      <c r="K80" s="244">
        <f t="shared" si="6"/>
        <v>183.68595041322314</v>
      </c>
      <c r="L80" s="248">
        <f>IF('King Air Loading Calculations'!G16&lt;I80,K80,L81)</f>
        <v>185</v>
      </c>
      <c r="M80" s="18"/>
    </row>
    <row r="81" spans="1:13" x14ac:dyDescent="0.2">
      <c r="A81" s="18"/>
      <c r="B81" s="185">
        <v>59</v>
      </c>
      <c r="C81" s="218">
        <v>68020</v>
      </c>
      <c r="D81" s="219">
        <v>172.07184416898556</v>
      </c>
      <c r="E81" s="188">
        <f t="shared" si="3"/>
        <v>395.3</v>
      </c>
      <c r="F81" s="17"/>
      <c r="H81" s="17"/>
      <c r="I81" s="243">
        <v>12150</v>
      </c>
      <c r="J81" s="115">
        <v>2233800</v>
      </c>
      <c r="K81" s="244">
        <f t="shared" si="6"/>
        <v>183.85185185185185</v>
      </c>
      <c r="L81" s="248">
        <f>IF('King Air Loading Calculations'!G16&lt;I81,K81,L82)</f>
        <v>185</v>
      </c>
      <c r="M81" s="18"/>
    </row>
    <row r="82" spans="1:13" x14ac:dyDescent="0.2">
      <c r="A82" s="18"/>
      <c r="B82" s="185">
        <v>60</v>
      </c>
      <c r="C82" s="186">
        <v>69300</v>
      </c>
      <c r="D82" s="219">
        <v>172.38805970149255</v>
      </c>
      <c r="E82" s="188">
        <f t="shared" si="3"/>
        <v>402</v>
      </c>
      <c r="F82" s="17"/>
      <c r="H82" s="17"/>
      <c r="I82" s="243">
        <v>12200</v>
      </c>
      <c r="J82" s="115">
        <v>2245000</v>
      </c>
      <c r="K82" s="244">
        <f t="shared" si="6"/>
        <v>184.01639344262296</v>
      </c>
      <c r="L82" s="248">
        <f>IF('King Air Loading Calculations'!G16&lt;I82,K82,L83)</f>
        <v>185</v>
      </c>
      <c r="M82" s="18"/>
    </row>
    <row r="83" spans="1:13" x14ac:dyDescent="0.2">
      <c r="A83" s="18"/>
      <c r="B83" s="185">
        <v>61</v>
      </c>
      <c r="C83" s="218">
        <v>70560</v>
      </c>
      <c r="D83" s="219">
        <v>172.64497186200148</v>
      </c>
      <c r="E83" s="188">
        <f t="shared" si="3"/>
        <v>408.7</v>
      </c>
      <c r="F83" s="17"/>
      <c r="H83" s="17"/>
      <c r="I83" s="243">
        <v>12250</v>
      </c>
      <c r="J83" s="115">
        <v>2256200</v>
      </c>
      <c r="K83" s="244">
        <f t="shared" si="6"/>
        <v>184.17959183673469</v>
      </c>
      <c r="L83" s="248">
        <f>IF('King Air Loading Calculations'!G16&lt;I83,K83,L84)</f>
        <v>185</v>
      </c>
      <c r="M83" s="18"/>
    </row>
    <row r="84" spans="1:13" x14ac:dyDescent="0.2">
      <c r="A84" s="18"/>
      <c r="B84" s="185">
        <v>62</v>
      </c>
      <c r="C84" s="218">
        <v>71820</v>
      </c>
      <c r="D84" s="219">
        <v>172.8935965334617</v>
      </c>
      <c r="E84" s="188">
        <f t="shared" si="3"/>
        <v>415.40000000000003</v>
      </c>
      <c r="F84" s="17"/>
      <c r="H84" s="17"/>
      <c r="I84" s="243">
        <v>12300</v>
      </c>
      <c r="J84" s="115">
        <v>2267400</v>
      </c>
      <c r="K84" s="244">
        <f t="shared" si="6"/>
        <v>184.34146341463415</v>
      </c>
      <c r="L84" s="248">
        <f>IF('King Air Loading Calculations'!G16&lt;I84,K84,L85)</f>
        <v>185</v>
      </c>
      <c r="M84" s="18"/>
    </row>
    <row r="85" spans="1:13" x14ac:dyDescent="0.2">
      <c r="A85" s="18"/>
      <c r="B85" s="185">
        <v>63</v>
      </c>
      <c r="C85" s="218">
        <v>73080</v>
      </c>
      <c r="D85" s="219">
        <v>173.13432835820893</v>
      </c>
      <c r="E85" s="188">
        <f t="shared" si="3"/>
        <v>422.1</v>
      </c>
      <c r="F85" s="17"/>
      <c r="H85" s="17"/>
      <c r="I85" s="243">
        <v>12350</v>
      </c>
      <c r="J85" s="115">
        <v>2278700</v>
      </c>
      <c r="K85" s="244">
        <f t="shared" si="6"/>
        <v>184.51012145748987</v>
      </c>
      <c r="L85" s="248">
        <f>IF('King Air Loading Calculations'!G16&lt;I85,K85,L86)</f>
        <v>185</v>
      </c>
      <c r="M85" s="18"/>
    </row>
    <row r="86" spans="1:13" x14ac:dyDescent="0.2">
      <c r="A86" s="18"/>
      <c r="B86" s="185">
        <v>64</v>
      </c>
      <c r="C86" s="218">
        <v>74340</v>
      </c>
      <c r="D86" s="219">
        <v>173.36753731343282</v>
      </c>
      <c r="E86" s="188">
        <f t="shared" si="3"/>
        <v>428.8</v>
      </c>
      <c r="F86" s="17"/>
      <c r="H86" s="17"/>
      <c r="I86" s="243">
        <v>12400</v>
      </c>
      <c r="J86" s="115">
        <v>2289900</v>
      </c>
      <c r="K86" s="244">
        <f t="shared" si="6"/>
        <v>184.66935483870967</v>
      </c>
      <c r="L86" s="248">
        <f>IF('King Air Loading Calculations'!G16&lt;I86,K86,L87)</f>
        <v>185</v>
      </c>
      <c r="M86" s="18"/>
    </row>
    <row r="87" spans="1:13" x14ac:dyDescent="0.2">
      <c r="A87" s="18"/>
      <c r="B87" s="185">
        <v>65</v>
      </c>
      <c r="C87" s="218">
        <v>75600</v>
      </c>
      <c r="D87" s="219">
        <v>173.59357060849598</v>
      </c>
      <c r="E87" s="188">
        <f t="shared" si="3"/>
        <v>435.5</v>
      </c>
      <c r="F87" s="17"/>
      <c r="H87" s="17"/>
      <c r="I87" s="243">
        <v>12450</v>
      </c>
      <c r="J87" s="115">
        <v>2301200</v>
      </c>
      <c r="K87" s="244">
        <f t="shared" si="6"/>
        <v>184.83534136546186</v>
      </c>
      <c r="L87" s="248">
        <f>IF('King Air Loading Calculations'!G16&lt;I87,K87,L88)</f>
        <v>185</v>
      </c>
      <c r="M87" s="18"/>
    </row>
    <row r="88" spans="1:13" x14ac:dyDescent="0.2">
      <c r="A88" s="18"/>
      <c r="B88" s="185">
        <v>66</v>
      </c>
      <c r="C88" s="218">
        <v>76860</v>
      </c>
      <c r="D88" s="219">
        <v>173.81275440976933</v>
      </c>
      <c r="E88" s="188">
        <f t="shared" si="3"/>
        <v>442.2</v>
      </c>
      <c r="F88" s="17"/>
      <c r="H88" s="17"/>
      <c r="I88" s="243">
        <v>12501</v>
      </c>
      <c r="J88" s="115">
        <v>2312500</v>
      </c>
      <c r="K88" s="244">
        <f t="shared" si="6"/>
        <v>184.98520118390528</v>
      </c>
      <c r="L88" s="248">
        <f>IF('King Air Loading Calculations'!G16&lt;I88,K88,L89)</f>
        <v>185</v>
      </c>
      <c r="M88" s="18"/>
    </row>
    <row r="89" spans="1:13" x14ac:dyDescent="0.2">
      <c r="A89" s="18"/>
      <c r="B89" s="185">
        <v>67</v>
      </c>
      <c r="C89" s="218">
        <v>78120</v>
      </c>
      <c r="D89" s="219">
        <v>174.02539541100467</v>
      </c>
      <c r="E89" s="188">
        <f t="shared" si="3"/>
        <v>448.90000000000003</v>
      </c>
      <c r="F89" s="17"/>
      <c r="H89" s="18"/>
      <c r="I89" s="17"/>
      <c r="J89" s="17"/>
      <c r="K89" s="18"/>
      <c r="L89" s="248">
        <v>185</v>
      </c>
      <c r="M89" s="18"/>
    </row>
    <row r="90" spans="1:13" x14ac:dyDescent="0.2">
      <c r="A90" s="18"/>
      <c r="B90" s="185">
        <v>68</v>
      </c>
      <c r="C90" s="218">
        <v>79380</v>
      </c>
      <c r="D90" s="219">
        <v>174.23178226514486</v>
      </c>
      <c r="E90" s="188">
        <f t="shared" si="3"/>
        <v>455.6</v>
      </c>
      <c r="F90" s="17"/>
    </row>
    <row r="91" spans="1:13" x14ac:dyDescent="0.2">
      <c r="A91" s="18"/>
      <c r="B91" s="185">
        <v>69</v>
      </c>
      <c r="C91" s="218">
        <v>80640</v>
      </c>
      <c r="D91" s="219">
        <v>174.43218689162882</v>
      </c>
      <c r="E91" s="188">
        <f t="shared" si="3"/>
        <v>462.3</v>
      </c>
      <c r="F91" s="17"/>
    </row>
    <row r="92" spans="1:13" x14ac:dyDescent="0.2">
      <c r="A92" s="18"/>
      <c r="B92" s="185">
        <v>70</v>
      </c>
      <c r="C92" s="186">
        <v>81900</v>
      </c>
      <c r="D92" s="219">
        <v>174.62686567164178</v>
      </c>
      <c r="E92" s="188">
        <f t="shared" si="3"/>
        <v>469</v>
      </c>
      <c r="F92" s="17"/>
    </row>
    <row r="93" spans="1:13" x14ac:dyDescent="0.2">
      <c r="A93" s="18"/>
      <c r="B93" s="185">
        <v>71</v>
      </c>
      <c r="C93" s="218">
        <v>83170</v>
      </c>
      <c r="D93" s="219">
        <v>174.8370821946605</v>
      </c>
      <c r="E93" s="188">
        <f t="shared" si="3"/>
        <v>475.7</v>
      </c>
      <c r="F93" s="17"/>
    </row>
    <row r="94" spans="1:13" x14ac:dyDescent="0.2">
      <c r="A94" s="18"/>
      <c r="B94" s="185">
        <v>72</v>
      </c>
      <c r="C94" s="218">
        <v>84440</v>
      </c>
      <c r="D94" s="219">
        <v>175.04145936981757</v>
      </c>
      <c r="E94" s="188">
        <f t="shared" si="3"/>
        <v>482.40000000000003</v>
      </c>
      <c r="F94" s="17"/>
    </row>
    <row r="95" spans="1:13" x14ac:dyDescent="0.2">
      <c r="A95" s="18"/>
      <c r="B95" s="185">
        <v>73</v>
      </c>
      <c r="C95" s="218">
        <v>85710</v>
      </c>
      <c r="D95" s="219">
        <v>175.24023717031281</v>
      </c>
      <c r="E95" s="188">
        <f t="shared" si="3"/>
        <v>489.1</v>
      </c>
      <c r="F95" s="17"/>
    </row>
    <row r="96" spans="1:13" x14ac:dyDescent="0.2">
      <c r="A96" s="18"/>
      <c r="B96" s="185">
        <v>74</v>
      </c>
      <c r="C96" s="218">
        <v>86980</v>
      </c>
      <c r="D96" s="219">
        <v>175.43364259782169</v>
      </c>
      <c r="E96" s="188">
        <f t="shared" ref="E96:E159" si="7">B96*6.7</f>
        <v>495.8</v>
      </c>
      <c r="F96" s="17"/>
    </row>
    <row r="97" spans="1:6" x14ac:dyDescent="0.2">
      <c r="A97" s="18"/>
      <c r="B97" s="185">
        <v>75</v>
      </c>
      <c r="C97" s="218">
        <v>88250</v>
      </c>
      <c r="D97" s="219">
        <v>175.62189054726369</v>
      </c>
      <c r="E97" s="188">
        <f t="shared" si="7"/>
        <v>502.5</v>
      </c>
      <c r="F97" s="17"/>
    </row>
    <row r="98" spans="1:6" x14ac:dyDescent="0.2">
      <c r="A98" s="18"/>
      <c r="B98" s="185">
        <v>76</v>
      </c>
      <c r="C98" s="218">
        <v>89520</v>
      </c>
      <c r="D98" s="219">
        <v>175.8051846032993</v>
      </c>
      <c r="E98" s="188">
        <f t="shared" si="7"/>
        <v>509.2</v>
      </c>
      <c r="F98" s="17"/>
    </row>
    <row r="99" spans="1:6" x14ac:dyDescent="0.2">
      <c r="A99" s="18"/>
      <c r="B99" s="185">
        <v>77</v>
      </c>
      <c r="C99" s="218">
        <v>90790</v>
      </c>
      <c r="D99" s="219">
        <v>175.98371777476257</v>
      </c>
      <c r="E99" s="188">
        <f t="shared" si="7"/>
        <v>515.9</v>
      </c>
      <c r="F99" s="17"/>
    </row>
    <row r="100" spans="1:6" x14ac:dyDescent="0.2">
      <c r="A100" s="18"/>
      <c r="B100" s="185">
        <v>78</v>
      </c>
      <c r="C100" s="218">
        <v>92060</v>
      </c>
      <c r="D100" s="219">
        <v>176.15767317259855</v>
      </c>
      <c r="E100" s="188">
        <f t="shared" si="7"/>
        <v>522.6</v>
      </c>
      <c r="F100" s="17"/>
    </row>
    <row r="101" spans="1:6" x14ac:dyDescent="0.2">
      <c r="A101" s="18"/>
      <c r="B101" s="185">
        <v>79</v>
      </c>
      <c r="C101" s="218">
        <v>93330</v>
      </c>
      <c r="D101" s="219">
        <v>176.32722463631208</v>
      </c>
      <c r="E101" s="188">
        <f t="shared" si="7"/>
        <v>529.30000000000007</v>
      </c>
      <c r="F101" s="17"/>
    </row>
    <row r="102" spans="1:6" x14ac:dyDescent="0.2">
      <c r="A102" s="18"/>
      <c r="B102" s="185">
        <v>80</v>
      </c>
      <c r="C102" s="186">
        <v>94600</v>
      </c>
      <c r="D102" s="219">
        <v>176.49253731343285</v>
      </c>
      <c r="E102" s="188">
        <f t="shared" si="7"/>
        <v>536</v>
      </c>
      <c r="F102" s="17"/>
    </row>
    <row r="103" spans="1:6" x14ac:dyDescent="0.2">
      <c r="A103" s="18"/>
      <c r="B103" s="185">
        <v>81</v>
      </c>
      <c r="C103" s="218">
        <v>95850</v>
      </c>
      <c r="D103" s="219">
        <v>176.61691542288557</v>
      </c>
      <c r="E103" s="188">
        <f t="shared" si="7"/>
        <v>542.70000000000005</v>
      </c>
      <c r="F103" s="17"/>
    </row>
    <row r="104" spans="1:6" x14ac:dyDescent="0.2">
      <c r="A104" s="18"/>
      <c r="B104" s="185">
        <v>82</v>
      </c>
      <c r="C104" s="218">
        <v>97100</v>
      </c>
      <c r="D104" s="219">
        <v>176.73825991991265</v>
      </c>
      <c r="E104" s="188">
        <f t="shared" si="7"/>
        <v>549.4</v>
      </c>
      <c r="F104" s="17"/>
    </row>
    <row r="105" spans="1:6" x14ac:dyDescent="0.2">
      <c r="A105" s="18"/>
      <c r="B105" s="185">
        <v>83</v>
      </c>
      <c r="C105" s="218">
        <v>98350</v>
      </c>
      <c r="D105" s="219">
        <v>176.85668045315589</v>
      </c>
      <c r="E105" s="188">
        <f t="shared" si="7"/>
        <v>556.1</v>
      </c>
      <c r="F105" s="17"/>
    </row>
    <row r="106" spans="1:6" x14ac:dyDescent="0.2">
      <c r="A106" s="18"/>
      <c r="B106" s="185">
        <v>84</v>
      </c>
      <c r="C106" s="218">
        <v>99600</v>
      </c>
      <c r="D106" s="219">
        <v>176.97228144989336</v>
      </c>
      <c r="E106" s="188">
        <f t="shared" si="7"/>
        <v>562.80000000000007</v>
      </c>
      <c r="F106" s="17"/>
    </row>
    <row r="107" spans="1:6" x14ac:dyDescent="0.2">
      <c r="A107" s="18"/>
      <c r="B107" s="185">
        <v>85</v>
      </c>
      <c r="C107" s="218">
        <v>100850</v>
      </c>
      <c r="D107" s="219">
        <v>177.08516242317822</v>
      </c>
      <c r="E107" s="188">
        <f t="shared" si="7"/>
        <v>569.5</v>
      </c>
      <c r="F107" s="17"/>
    </row>
    <row r="108" spans="1:6" x14ac:dyDescent="0.2">
      <c r="A108" s="18"/>
      <c r="B108" s="185">
        <v>86</v>
      </c>
      <c r="C108" s="218">
        <v>102100</v>
      </c>
      <c r="D108" s="219">
        <v>177.19541825754945</v>
      </c>
      <c r="E108" s="188">
        <f t="shared" si="7"/>
        <v>576.20000000000005</v>
      </c>
      <c r="F108" s="17"/>
    </row>
    <row r="109" spans="1:6" x14ac:dyDescent="0.2">
      <c r="A109" s="18"/>
      <c r="B109" s="185">
        <v>87</v>
      </c>
      <c r="C109" s="218">
        <v>103350</v>
      </c>
      <c r="D109" s="219">
        <v>177.30313947503862</v>
      </c>
      <c r="E109" s="188">
        <f t="shared" si="7"/>
        <v>582.9</v>
      </c>
      <c r="F109" s="17"/>
    </row>
    <row r="110" spans="1:6" x14ac:dyDescent="0.2">
      <c r="A110" s="18"/>
      <c r="B110" s="185">
        <v>88</v>
      </c>
      <c r="C110" s="218">
        <v>104600</v>
      </c>
      <c r="D110" s="219">
        <v>177.40841248303934</v>
      </c>
      <c r="E110" s="188">
        <f t="shared" si="7"/>
        <v>589.6</v>
      </c>
      <c r="F110" s="17"/>
    </row>
    <row r="111" spans="1:6" x14ac:dyDescent="0.2">
      <c r="A111" s="18"/>
      <c r="B111" s="185">
        <v>89</v>
      </c>
      <c r="C111" s="218">
        <v>105850</v>
      </c>
      <c r="D111" s="219">
        <v>177.51131980546702</v>
      </c>
      <c r="E111" s="188">
        <f t="shared" si="7"/>
        <v>596.30000000000007</v>
      </c>
      <c r="F111" s="17"/>
    </row>
    <row r="112" spans="1:6" x14ac:dyDescent="0.2">
      <c r="A112" s="18"/>
      <c r="B112" s="185">
        <v>90</v>
      </c>
      <c r="C112" s="186">
        <v>107100</v>
      </c>
      <c r="D112" s="219">
        <v>177.61194029850745</v>
      </c>
      <c r="E112" s="188">
        <f t="shared" si="7"/>
        <v>603</v>
      </c>
      <c r="F112" s="17"/>
    </row>
    <row r="113" spans="1:6" x14ac:dyDescent="0.2">
      <c r="A113" s="18"/>
      <c r="B113" s="185">
        <v>91</v>
      </c>
      <c r="C113" s="218">
        <v>108350</v>
      </c>
      <c r="D113" s="219">
        <v>177.71034935214038</v>
      </c>
      <c r="E113" s="188">
        <f t="shared" si="7"/>
        <v>609.70000000000005</v>
      </c>
      <c r="F113" s="17"/>
    </row>
    <row r="114" spans="1:6" x14ac:dyDescent="0.2">
      <c r="A114" s="18"/>
      <c r="B114" s="185">
        <v>92</v>
      </c>
      <c r="C114" s="218">
        <v>109600</v>
      </c>
      <c r="D114" s="219">
        <v>177.80661907852044</v>
      </c>
      <c r="E114" s="188">
        <f t="shared" si="7"/>
        <v>616.4</v>
      </c>
      <c r="F114" s="17"/>
    </row>
    <row r="115" spans="1:6" x14ac:dyDescent="0.2">
      <c r="A115" s="18"/>
      <c r="B115" s="185">
        <v>93</v>
      </c>
      <c r="C115" s="218">
        <v>110850</v>
      </c>
      <c r="D115" s="219">
        <v>177.90081848820412</v>
      </c>
      <c r="E115" s="188">
        <f t="shared" si="7"/>
        <v>623.1</v>
      </c>
      <c r="F115" s="17"/>
    </row>
    <row r="116" spans="1:6" x14ac:dyDescent="0.2">
      <c r="A116" s="18"/>
      <c r="B116" s="185">
        <v>94</v>
      </c>
      <c r="C116" s="218">
        <v>112100</v>
      </c>
      <c r="D116" s="219">
        <v>177.99301365512861</v>
      </c>
      <c r="E116" s="188">
        <f t="shared" si="7"/>
        <v>629.80000000000007</v>
      </c>
      <c r="F116" s="17"/>
    </row>
    <row r="117" spans="1:6" x14ac:dyDescent="0.2">
      <c r="A117" s="18"/>
      <c r="B117" s="185">
        <v>95</v>
      </c>
      <c r="C117" s="218">
        <v>113350</v>
      </c>
      <c r="D117" s="219">
        <v>178.08326787117048</v>
      </c>
      <c r="E117" s="188">
        <f t="shared" si="7"/>
        <v>636.5</v>
      </c>
      <c r="F117" s="17"/>
    </row>
    <row r="118" spans="1:6" x14ac:dyDescent="0.2">
      <c r="A118" s="18"/>
      <c r="B118" s="185">
        <v>96</v>
      </c>
      <c r="C118" s="218">
        <v>114600</v>
      </c>
      <c r="D118" s="219">
        <v>178.17164179104478</v>
      </c>
      <c r="E118" s="188">
        <f t="shared" si="7"/>
        <v>643.20000000000005</v>
      </c>
      <c r="F118" s="17"/>
    </row>
    <row r="119" spans="1:6" x14ac:dyDescent="0.2">
      <c r="A119" s="18"/>
      <c r="B119" s="185">
        <v>97</v>
      </c>
      <c r="C119" s="218">
        <v>115850</v>
      </c>
      <c r="D119" s="219">
        <v>178.25819356824127</v>
      </c>
      <c r="E119" s="188">
        <f t="shared" si="7"/>
        <v>649.9</v>
      </c>
      <c r="F119" s="17"/>
    </row>
    <row r="120" spans="1:6" x14ac:dyDescent="0.2">
      <c r="A120" s="18"/>
      <c r="B120" s="185">
        <v>98</v>
      </c>
      <c r="C120" s="218">
        <v>117100</v>
      </c>
      <c r="D120" s="219">
        <v>178.34297898263782</v>
      </c>
      <c r="E120" s="188">
        <f t="shared" si="7"/>
        <v>656.6</v>
      </c>
      <c r="F120" s="17"/>
    </row>
    <row r="121" spans="1:6" x14ac:dyDescent="0.2">
      <c r="A121" s="18"/>
      <c r="B121" s="185">
        <v>99</v>
      </c>
      <c r="C121" s="218">
        <v>118350</v>
      </c>
      <c r="D121" s="219">
        <v>178.4260515603799</v>
      </c>
      <c r="E121" s="188">
        <f t="shared" si="7"/>
        <v>663.30000000000007</v>
      </c>
      <c r="F121" s="17"/>
    </row>
    <row r="122" spans="1:6" x14ac:dyDescent="0.2">
      <c r="A122" s="18"/>
      <c r="B122" s="185">
        <v>100</v>
      </c>
      <c r="C122" s="186">
        <v>119600</v>
      </c>
      <c r="D122" s="219">
        <v>178.50746268656715</v>
      </c>
      <c r="E122" s="188">
        <f t="shared" si="7"/>
        <v>670</v>
      </c>
      <c r="F122" s="17"/>
    </row>
    <row r="123" spans="1:6" x14ac:dyDescent="0.2">
      <c r="A123" s="18"/>
      <c r="B123" s="185">
        <v>101</v>
      </c>
      <c r="C123" s="249">
        <v>120830</v>
      </c>
      <c r="D123" s="219">
        <v>178.55770651692035</v>
      </c>
      <c r="E123" s="188">
        <f t="shared" si="7"/>
        <v>676.7</v>
      </c>
      <c r="F123" s="17"/>
    </row>
    <row r="124" spans="1:6" x14ac:dyDescent="0.2">
      <c r="A124" s="18"/>
      <c r="B124" s="185">
        <v>102</v>
      </c>
      <c r="C124" s="249">
        <v>122060</v>
      </c>
      <c r="D124" s="219">
        <v>178.60696517412936</v>
      </c>
      <c r="E124" s="188">
        <f t="shared" si="7"/>
        <v>683.4</v>
      </c>
      <c r="F124" s="17"/>
    </row>
    <row r="125" spans="1:6" x14ac:dyDescent="0.2">
      <c r="A125" s="18"/>
      <c r="B125" s="185">
        <v>103</v>
      </c>
      <c r="C125" s="249">
        <v>123290</v>
      </c>
      <c r="D125" s="219">
        <v>178.65526735255759</v>
      </c>
      <c r="E125" s="188">
        <f t="shared" si="7"/>
        <v>690.1</v>
      </c>
      <c r="F125" s="17"/>
    </row>
    <row r="126" spans="1:6" x14ac:dyDescent="0.2">
      <c r="A126" s="18"/>
      <c r="B126" s="185">
        <v>104</v>
      </c>
      <c r="C126" s="249">
        <v>124520</v>
      </c>
      <c r="D126" s="219">
        <v>178.70264064293914</v>
      </c>
      <c r="E126" s="188">
        <f t="shared" si="7"/>
        <v>696.80000000000007</v>
      </c>
      <c r="F126" s="17"/>
    </row>
    <row r="127" spans="1:6" x14ac:dyDescent="0.2">
      <c r="A127" s="18"/>
      <c r="B127" s="185">
        <v>105</v>
      </c>
      <c r="C127" s="249">
        <v>125750</v>
      </c>
      <c r="D127" s="219">
        <v>178.74911158493248</v>
      </c>
      <c r="E127" s="188">
        <f t="shared" si="7"/>
        <v>703.5</v>
      </c>
      <c r="F127" s="17"/>
    </row>
    <row r="128" spans="1:6" x14ac:dyDescent="0.2">
      <c r="A128" s="18"/>
      <c r="B128" s="185">
        <v>106</v>
      </c>
      <c r="C128" s="249">
        <v>126980</v>
      </c>
      <c r="D128" s="219">
        <v>178.7947057166995</v>
      </c>
      <c r="E128" s="188">
        <f t="shared" si="7"/>
        <v>710.2</v>
      </c>
      <c r="F128" s="17"/>
    </row>
    <row r="129" spans="1:6" x14ac:dyDescent="0.2">
      <c r="A129" s="18"/>
      <c r="B129" s="185">
        <v>107</v>
      </c>
      <c r="C129" s="249">
        <v>128210</v>
      </c>
      <c r="D129" s="219">
        <v>178.83944762170458</v>
      </c>
      <c r="E129" s="188">
        <f t="shared" si="7"/>
        <v>716.9</v>
      </c>
      <c r="F129" s="17"/>
    </row>
    <row r="130" spans="1:6" x14ac:dyDescent="0.2">
      <c r="A130" s="18"/>
      <c r="B130" s="185">
        <v>108</v>
      </c>
      <c r="C130" s="249">
        <v>129440</v>
      </c>
      <c r="D130" s="219">
        <v>178.88336097291321</v>
      </c>
      <c r="E130" s="188">
        <f t="shared" si="7"/>
        <v>723.6</v>
      </c>
      <c r="F130" s="17"/>
    </row>
    <row r="131" spans="1:6" x14ac:dyDescent="0.2">
      <c r="A131" s="18"/>
      <c r="B131" s="185">
        <v>109</v>
      </c>
      <c r="C131" s="249">
        <v>130670</v>
      </c>
      <c r="D131" s="219">
        <v>178.92646857455838</v>
      </c>
      <c r="E131" s="188">
        <f t="shared" si="7"/>
        <v>730.30000000000007</v>
      </c>
      <c r="F131" s="17"/>
    </row>
    <row r="132" spans="1:6" x14ac:dyDescent="0.2">
      <c r="A132" s="18"/>
      <c r="B132" s="185">
        <v>110</v>
      </c>
      <c r="C132" s="186">
        <v>131900</v>
      </c>
      <c r="D132" s="219">
        <v>178.96879240162824</v>
      </c>
      <c r="E132" s="188">
        <f t="shared" si="7"/>
        <v>737</v>
      </c>
      <c r="F132" s="17"/>
    </row>
    <row r="133" spans="1:6" x14ac:dyDescent="0.2">
      <c r="A133" s="18"/>
      <c r="B133" s="185">
        <v>111</v>
      </c>
      <c r="C133" s="249">
        <v>133140</v>
      </c>
      <c r="D133" s="219">
        <v>179.0237999193223</v>
      </c>
      <c r="E133" s="188">
        <f t="shared" si="7"/>
        <v>743.7</v>
      </c>
      <c r="F133" s="17"/>
    </row>
    <row r="134" spans="1:6" x14ac:dyDescent="0.2">
      <c r="A134" s="18"/>
      <c r="B134" s="185">
        <v>112</v>
      </c>
      <c r="C134" s="249">
        <v>134380</v>
      </c>
      <c r="D134" s="219">
        <v>179.07782515991471</v>
      </c>
      <c r="E134" s="188">
        <f t="shared" si="7"/>
        <v>750.4</v>
      </c>
      <c r="F134" s="17"/>
    </row>
    <row r="135" spans="1:6" x14ac:dyDescent="0.2">
      <c r="A135" s="18"/>
      <c r="B135" s="185">
        <v>113</v>
      </c>
      <c r="C135" s="249">
        <v>135620</v>
      </c>
      <c r="D135" s="219">
        <v>179.13089420155856</v>
      </c>
      <c r="E135" s="188">
        <f t="shared" si="7"/>
        <v>757.1</v>
      </c>
      <c r="F135" s="17"/>
    </row>
    <row r="136" spans="1:6" x14ac:dyDescent="0.2">
      <c r="A136" s="18"/>
      <c r="B136" s="185">
        <v>114</v>
      </c>
      <c r="C136" s="249">
        <v>136860</v>
      </c>
      <c r="D136" s="219">
        <v>179.18303220738412</v>
      </c>
      <c r="E136" s="188">
        <f t="shared" si="7"/>
        <v>763.80000000000007</v>
      </c>
      <c r="F136" s="17"/>
    </row>
    <row r="137" spans="1:6" x14ac:dyDescent="0.2">
      <c r="A137" s="18"/>
      <c r="B137" s="185">
        <v>115</v>
      </c>
      <c r="C137" s="249">
        <v>138100</v>
      </c>
      <c r="D137" s="219">
        <v>179.23426346528228</v>
      </c>
      <c r="E137" s="188">
        <f t="shared" si="7"/>
        <v>770.5</v>
      </c>
      <c r="F137" s="17"/>
    </row>
    <row r="138" spans="1:6" x14ac:dyDescent="0.2">
      <c r="A138" s="18"/>
      <c r="B138" s="185">
        <v>116</v>
      </c>
      <c r="C138" s="249">
        <v>139340</v>
      </c>
      <c r="D138" s="219">
        <v>179.28461142563046</v>
      </c>
      <c r="E138" s="188">
        <f t="shared" si="7"/>
        <v>777.2</v>
      </c>
      <c r="F138" s="17"/>
    </row>
    <row r="139" spans="1:6" x14ac:dyDescent="0.2">
      <c r="A139" s="18"/>
      <c r="B139" s="185">
        <v>117</v>
      </c>
      <c r="C139" s="249">
        <v>140580</v>
      </c>
      <c r="D139" s="219">
        <v>179.33409873708382</v>
      </c>
      <c r="E139" s="188">
        <f t="shared" si="7"/>
        <v>783.9</v>
      </c>
      <c r="F139" s="17"/>
    </row>
    <row r="140" spans="1:6" x14ac:dyDescent="0.2">
      <c r="A140" s="18"/>
      <c r="B140" s="185">
        <v>118</v>
      </c>
      <c r="C140" s="249">
        <v>141820</v>
      </c>
      <c r="D140" s="219">
        <v>179.38274728054643</v>
      </c>
      <c r="E140" s="188">
        <f t="shared" si="7"/>
        <v>790.6</v>
      </c>
      <c r="F140" s="17"/>
    </row>
    <row r="141" spans="1:6" x14ac:dyDescent="0.2">
      <c r="A141" s="18"/>
      <c r="B141" s="185">
        <v>119</v>
      </c>
      <c r="C141" s="249">
        <v>143060</v>
      </c>
      <c r="D141" s="219">
        <v>179.43057820142982</v>
      </c>
      <c r="E141" s="188">
        <f t="shared" si="7"/>
        <v>797.30000000000007</v>
      </c>
      <c r="F141" s="17"/>
    </row>
    <row r="142" spans="1:6" x14ac:dyDescent="0.2">
      <c r="A142" s="18"/>
      <c r="B142" s="185">
        <v>120</v>
      </c>
      <c r="C142" s="186">
        <v>144300</v>
      </c>
      <c r="D142" s="219">
        <v>179.47761194029852</v>
      </c>
      <c r="E142" s="188">
        <f t="shared" si="7"/>
        <v>804</v>
      </c>
      <c r="F142" s="17"/>
    </row>
    <row r="143" spans="1:6" x14ac:dyDescent="0.2">
      <c r="A143" s="18"/>
      <c r="B143" s="185">
        <v>121</v>
      </c>
      <c r="C143" s="218">
        <v>145530</v>
      </c>
      <c r="D143" s="219">
        <v>179.51153324287651</v>
      </c>
      <c r="E143" s="188">
        <f t="shared" si="7"/>
        <v>810.7</v>
      </c>
      <c r="F143" s="17"/>
    </row>
    <row r="144" spans="1:6" x14ac:dyDescent="0.2">
      <c r="A144" s="18"/>
      <c r="B144" s="185">
        <v>122</v>
      </c>
      <c r="C144" s="218">
        <v>146760</v>
      </c>
      <c r="D144" s="219">
        <v>179.54489845852703</v>
      </c>
      <c r="E144" s="188">
        <f t="shared" si="7"/>
        <v>817.4</v>
      </c>
      <c r="F144" s="17"/>
    </row>
    <row r="145" spans="1:6" x14ac:dyDescent="0.2">
      <c r="A145" s="18"/>
      <c r="B145" s="185">
        <v>123</v>
      </c>
      <c r="C145" s="218">
        <v>147990</v>
      </c>
      <c r="D145" s="219">
        <v>179.57772115034584</v>
      </c>
      <c r="E145" s="188">
        <f t="shared" si="7"/>
        <v>824.1</v>
      </c>
      <c r="F145" s="17"/>
    </row>
    <row r="146" spans="1:6" x14ac:dyDescent="0.2">
      <c r="A146" s="18"/>
      <c r="B146" s="185">
        <v>124</v>
      </c>
      <c r="C146" s="218">
        <v>149220</v>
      </c>
      <c r="D146" s="219">
        <v>179.61001444390948</v>
      </c>
      <c r="E146" s="188">
        <f t="shared" si="7"/>
        <v>830.80000000000007</v>
      </c>
      <c r="F146" s="17"/>
    </row>
    <row r="147" spans="1:6" x14ac:dyDescent="0.2">
      <c r="A147" s="18"/>
      <c r="B147" s="185">
        <v>125</v>
      </c>
      <c r="C147" s="218">
        <v>150450</v>
      </c>
      <c r="D147" s="219">
        <v>179.64179104477611</v>
      </c>
      <c r="E147" s="188">
        <f t="shared" si="7"/>
        <v>837.5</v>
      </c>
      <c r="F147" s="17"/>
    </row>
    <row r="148" spans="1:6" x14ac:dyDescent="0.2">
      <c r="A148" s="18"/>
      <c r="B148" s="185">
        <v>126</v>
      </c>
      <c r="C148" s="218">
        <v>151680</v>
      </c>
      <c r="D148" s="219">
        <v>179.67306325515281</v>
      </c>
      <c r="E148" s="188">
        <f t="shared" si="7"/>
        <v>844.2</v>
      </c>
      <c r="F148" s="17"/>
    </row>
    <row r="149" spans="1:6" x14ac:dyDescent="0.2">
      <c r="A149" s="18"/>
      <c r="B149" s="185">
        <v>127</v>
      </c>
      <c r="C149" s="218">
        <v>152910</v>
      </c>
      <c r="D149" s="219">
        <v>179.70384298977552</v>
      </c>
      <c r="E149" s="188">
        <f t="shared" si="7"/>
        <v>850.9</v>
      </c>
      <c r="F149" s="17"/>
    </row>
    <row r="150" spans="1:6" x14ac:dyDescent="0.2">
      <c r="A150" s="18"/>
      <c r="B150" s="185">
        <v>128</v>
      </c>
      <c r="C150" s="218">
        <v>154140</v>
      </c>
      <c r="D150" s="219">
        <v>179.73414179104478</v>
      </c>
      <c r="E150" s="188">
        <f t="shared" si="7"/>
        <v>857.6</v>
      </c>
      <c r="F150" s="17"/>
    </row>
    <row r="151" spans="1:6" x14ac:dyDescent="0.2">
      <c r="A151" s="18"/>
      <c r="B151" s="185">
        <v>129</v>
      </c>
      <c r="C151" s="218">
        <v>155370</v>
      </c>
      <c r="D151" s="219">
        <v>179.76397084345712</v>
      </c>
      <c r="E151" s="188">
        <f t="shared" si="7"/>
        <v>864.30000000000007</v>
      </c>
      <c r="F151" s="17"/>
    </row>
    <row r="152" spans="1:6" x14ac:dyDescent="0.2">
      <c r="A152" s="18"/>
      <c r="B152" s="185">
        <v>130</v>
      </c>
      <c r="C152" s="186">
        <v>156600</v>
      </c>
      <c r="D152" s="219">
        <v>179.79334098737084</v>
      </c>
      <c r="E152" s="188">
        <f t="shared" si="7"/>
        <v>871</v>
      </c>
      <c r="F152" s="17"/>
    </row>
    <row r="153" spans="1:6" x14ac:dyDescent="0.2">
      <c r="A153" s="18"/>
      <c r="B153" s="185">
        <v>131</v>
      </c>
      <c r="C153" s="218">
        <v>157840</v>
      </c>
      <c r="D153" s="219">
        <v>179.83365614674716</v>
      </c>
      <c r="E153" s="188">
        <f t="shared" si="7"/>
        <v>877.7</v>
      </c>
      <c r="F153" s="17"/>
    </row>
    <row r="154" spans="1:6" x14ac:dyDescent="0.2">
      <c r="A154" s="18"/>
      <c r="B154" s="185">
        <v>132</v>
      </c>
      <c r="C154" s="218">
        <v>159080</v>
      </c>
      <c r="D154" s="219">
        <v>179.87336047037539</v>
      </c>
      <c r="E154" s="188">
        <f t="shared" si="7"/>
        <v>884.4</v>
      </c>
      <c r="F154" s="17"/>
    </row>
    <row r="155" spans="1:6" x14ac:dyDescent="0.2">
      <c r="A155" s="18"/>
      <c r="B155" s="185">
        <v>133</v>
      </c>
      <c r="C155" s="218">
        <v>160320</v>
      </c>
      <c r="D155" s="219">
        <v>179.91246773650545</v>
      </c>
      <c r="E155" s="188">
        <f t="shared" si="7"/>
        <v>891.1</v>
      </c>
      <c r="F155" s="17"/>
    </row>
    <row r="156" spans="1:6" x14ac:dyDescent="0.2">
      <c r="A156" s="18"/>
      <c r="B156" s="185">
        <v>134</v>
      </c>
      <c r="C156" s="218">
        <v>161560</v>
      </c>
      <c r="D156" s="219">
        <v>179.95099131209622</v>
      </c>
      <c r="E156" s="188">
        <f t="shared" si="7"/>
        <v>897.80000000000007</v>
      </c>
      <c r="F156" s="17"/>
    </row>
    <row r="157" spans="1:6" x14ac:dyDescent="0.2">
      <c r="A157" s="18"/>
      <c r="B157" s="185">
        <v>135</v>
      </c>
      <c r="C157" s="218">
        <v>162800</v>
      </c>
      <c r="D157" s="219">
        <v>179.98894416804865</v>
      </c>
      <c r="E157" s="188">
        <f t="shared" si="7"/>
        <v>904.5</v>
      </c>
      <c r="F157" s="17"/>
    </row>
    <row r="158" spans="1:6" x14ac:dyDescent="0.2">
      <c r="A158" s="18"/>
      <c r="B158" s="185">
        <v>136</v>
      </c>
      <c r="C158" s="218">
        <v>164040</v>
      </c>
      <c r="D158" s="219">
        <v>180.02633889376645</v>
      </c>
      <c r="E158" s="188">
        <f t="shared" si="7"/>
        <v>911.2</v>
      </c>
      <c r="F158" s="17"/>
    </row>
    <row r="159" spans="1:6" x14ac:dyDescent="0.2">
      <c r="A159" s="18"/>
      <c r="B159" s="185">
        <v>137</v>
      </c>
      <c r="C159" s="218">
        <v>165280</v>
      </c>
      <c r="D159" s="219">
        <v>180.06318771107965</v>
      </c>
      <c r="E159" s="188">
        <f t="shared" si="7"/>
        <v>917.9</v>
      </c>
      <c r="F159" s="17"/>
    </row>
    <row r="160" spans="1:6" x14ac:dyDescent="0.2">
      <c r="A160" s="18"/>
      <c r="B160" s="185">
        <v>138</v>
      </c>
      <c r="C160" s="218">
        <v>166520</v>
      </c>
      <c r="D160" s="219">
        <v>180.09950248756218</v>
      </c>
      <c r="E160" s="188">
        <f t="shared" ref="E160:E223" si="8">B160*6.7</f>
        <v>924.6</v>
      </c>
      <c r="F160" s="17"/>
    </row>
    <row r="161" spans="1:6" x14ac:dyDescent="0.2">
      <c r="A161" s="18"/>
      <c r="B161" s="185">
        <v>139</v>
      </c>
      <c r="C161" s="218">
        <v>167760</v>
      </c>
      <c r="D161" s="219">
        <v>180.1352947492752</v>
      </c>
      <c r="E161" s="188">
        <f t="shared" si="8"/>
        <v>931.30000000000007</v>
      </c>
      <c r="F161" s="17"/>
    </row>
    <row r="162" spans="1:6" x14ac:dyDescent="0.2">
      <c r="A162" s="18"/>
      <c r="B162" s="185">
        <v>140</v>
      </c>
      <c r="C162" s="186">
        <v>169000</v>
      </c>
      <c r="D162" s="219">
        <v>180.17057569296375</v>
      </c>
      <c r="E162" s="188">
        <f t="shared" si="8"/>
        <v>938</v>
      </c>
      <c r="F162" s="17"/>
    </row>
    <row r="163" spans="1:6" x14ac:dyDescent="0.2">
      <c r="A163" s="18"/>
      <c r="B163" s="185">
        <v>141</v>
      </c>
      <c r="C163" s="218">
        <v>170250</v>
      </c>
      <c r="D163" s="219">
        <v>180.21594156875199</v>
      </c>
      <c r="E163" s="188">
        <f t="shared" si="8"/>
        <v>944.7</v>
      </c>
      <c r="F163" s="17"/>
    </row>
    <row r="164" spans="1:6" x14ac:dyDescent="0.2">
      <c r="A164" s="18"/>
      <c r="B164" s="185">
        <v>142</v>
      </c>
      <c r="C164" s="218">
        <v>171500</v>
      </c>
      <c r="D164" s="219">
        <v>180.26066848854322</v>
      </c>
      <c r="E164" s="188">
        <f t="shared" si="8"/>
        <v>951.4</v>
      </c>
      <c r="F164" s="17"/>
    </row>
    <row r="165" spans="1:6" x14ac:dyDescent="0.2">
      <c r="A165" s="18"/>
      <c r="B165" s="185">
        <v>143</v>
      </c>
      <c r="C165" s="218">
        <v>172750</v>
      </c>
      <c r="D165" s="219">
        <v>180.30476985700867</v>
      </c>
      <c r="E165" s="188">
        <f t="shared" si="8"/>
        <v>958.1</v>
      </c>
      <c r="F165" s="17"/>
    </row>
    <row r="166" spans="1:6" x14ac:dyDescent="0.2">
      <c r="A166" s="18"/>
      <c r="B166" s="185">
        <v>144</v>
      </c>
      <c r="C166" s="218">
        <v>174000</v>
      </c>
      <c r="D166" s="219">
        <v>180.34825870646765</v>
      </c>
      <c r="E166" s="188">
        <f t="shared" si="8"/>
        <v>964.80000000000007</v>
      </c>
      <c r="F166" s="17"/>
    </row>
    <row r="167" spans="1:6" x14ac:dyDescent="0.2">
      <c r="A167" s="18"/>
      <c r="B167" s="185">
        <v>145</v>
      </c>
      <c r="C167" s="218">
        <v>175250</v>
      </c>
      <c r="D167" s="219">
        <v>180.39114770972722</v>
      </c>
      <c r="E167" s="188">
        <f t="shared" si="8"/>
        <v>971.5</v>
      </c>
      <c r="F167" s="17"/>
    </row>
    <row r="168" spans="1:6" x14ac:dyDescent="0.2">
      <c r="A168" s="18"/>
      <c r="B168" s="185">
        <v>146</v>
      </c>
      <c r="C168" s="218">
        <v>176500</v>
      </c>
      <c r="D168" s="219">
        <v>180.43344919239419</v>
      </c>
      <c r="E168" s="188">
        <f t="shared" si="8"/>
        <v>978.2</v>
      </c>
      <c r="F168" s="17"/>
    </row>
    <row r="169" spans="1:6" x14ac:dyDescent="0.2">
      <c r="A169" s="18"/>
      <c r="B169" s="185">
        <v>147</v>
      </c>
      <c r="C169" s="218">
        <v>177740</v>
      </c>
      <c r="D169" s="219">
        <v>180.46502182962737</v>
      </c>
      <c r="E169" s="188">
        <f t="shared" si="8"/>
        <v>984.9</v>
      </c>
      <c r="F169" s="17"/>
    </row>
    <row r="170" spans="1:6" x14ac:dyDescent="0.2">
      <c r="A170" s="18"/>
      <c r="B170" s="185">
        <v>148</v>
      </c>
      <c r="C170" s="218">
        <v>178980</v>
      </c>
      <c r="D170" s="219">
        <v>180.49616780960065</v>
      </c>
      <c r="E170" s="188">
        <f t="shared" si="8"/>
        <v>991.6</v>
      </c>
      <c r="F170" s="17"/>
    </row>
    <row r="171" spans="1:6" x14ac:dyDescent="0.2">
      <c r="A171" s="18"/>
      <c r="B171" s="185">
        <v>149</v>
      </c>
      <c r="C171" s="218">
        <v>180220</v>
      </c>
      <c r="D171" s="219">
        <v>180.52689572272863</v>
      </c>
      <c r="E171" s="188">
        <f t="shared" si="8"/>
        <v>998.30000000000007</v>
      </c>
      <c r="F171" s="17"/>
    </row>
    <row r="172" spans="1:6" x14ac:dyDescent="0.2">
      <c r="A172" s="18"/>
      <c r="B172" s="185">
        <v>150</v>
      </c>
      <c r="C172" s="186">
        <v>181500</v>
      </c>
      <c r="D172" s="219">
        <v>180.59701492537314</v>
      </c>
      <c r="E172" s="188">
        <f t="shared" si="8"/>
        <v>1005</v>
      </c>
      <c r="F172" s="17"/>
    </row>
    <row r="173" spans="1:6" x14ac:dyDescent="0.2">
      <c r="A173" s="18"/>
      <c r="B173" s="185">
        <v>151</v>
      </c>
      <c r="C173" s="218">
        <v>182740</v>
      </c>
      <c r="D173" s="219">
        <v>180.62666798458039</v>
      </c>
      <c r="E173" s="188">
        <f t="shared" si="8"/>
        <v>1011.7</v>
      </c>
      <c r="F173" s="17"/>
    </row>
    <row r="174" spans="1:6" x14ac:dyDescent="0.2">
      <c r="A174" s="18"/>
      <c r="B174" s="185">
        <v>152</v>
      </c>
      <c r="C174" s="218">
        <v>183980</v>
      </c>
      <c r="D174" s="219">
        <v>180.655930871956</v>
      </c>
      <c r="E174" s="188">
        <f t="shared" si="8"/>
        <v>1018.4</v>
      </c>
      <c r="F174" s="17"/>
    </row>
    <row r="175" spans="1:6" x14ac:dyDescent="0.2">
      <c r="A175" s="18"/>
      <c r="B175" s="185">
        <v>153</v>
      </c>
      <c r="C175" s="218">
        <v>185220</v>
      </c>
      <c r="D175" s="219">
        <v>180.68481123792799</v>
      </c>
      <c r="E175" s="188">
        <f t="shared" si="8"/>
        <v>1025.1000000000001</v>
      </c>
      <c r="F175" s="17"/>
    </row>
    <row r="176" spans="1:6" x14ac:dyDescent="0.2">
      <c r="A176" s="18"/>
      <c r="B176" s="185">
        <v>154</v>
      </c>
      <c r="C176" s="218">
        <v>186460</v>
      </c>
      <c r="D176" s="219">
        <v>180.71331653421205</v>
      </c>
      <c r="E176" s="188">
        <f t="shared" si="8"/>
        <v>1031.8</v>
      </c>
      <c r="F176" s="17"/>
    </row>
    <row r="177" spans="1:6" x14ac:dyDescent="0.2">
      <c r="A177" s="18"/>
      <c r="B177" s="185">
        <v>155</v>
      </c>
      <c r="C177" s="218">
        <v>187700</v>
      </c>
      <c r="D177" s="219">
        <v>180.74145402022148</v>
      </c>
      <c r="E177" s="188">
        <f t="shared" si="8"/>
        <v>1038.5</v>
      </c>
      <c r="F177" s="17"/>
    </row>
    <row r="178" spans="1:6" x14ac:dyDescent="0.2">
      <c r="A178" s="18"/>
      <c r="B178" s="185">
        <v>156</v>
      </c>
      <c r="C178" s="218">
        <v>188940</v>
      </c>
      <c r="D178" s="219">
        <v>180.76923076923077</v>
      </c>
      <c r="E178" s="188">
        <f t="shared" si="8"/>
        <v>1045.2</v>
      </c>
      <c r="F178" s="17"/>
    </row>
    <row r="179" spans="1:6" x14ac:dyDescent="0.2">
      <c r="A179" s="18"/>
      <c r="B179" s="185">
        <v>157</v>
      </c>
      <c r="C179" s="218">
        <v>190190</v>
      </c>
      <c r="D179" s="219">
        <v>180.80616028139556</v>
      </c>
      <c r="E179" s="188">
        <f t="shared" si="8"/>
        <v>1051.9000000000001</v>
      </c>
      <c r="F179" s="17"/>
    </row>
    <row r="180" spans="1:6" x14ac:dyDescent="0.2">
      <c r="A180" s="18"/>
      <c r="B180" s="185">
        <v>158</v>
      </c>
      <c r="C180" s="218">
        <v>191440</v>
      </c>
      <c r="D180" s="219">
        <v>180.84262233138105</v>
      </c>
      <c r="E180" s="188">
        <f t="shared" si="8"/>
        <v>1058.6000000000001</v>
      </c>
      <c r="F180" s="17"/>
    </row>
    <row r="181" spans="1:6" x14ac:dyDescent="0.2">
      <c r="A181" s="18"/>
      <c r="B181" s="185">
        <v>159</v>
      </c>
      <c r="C181" s="218">
        <v>192690</v>
      </c>
      <c r="D181" s="219">
        <v>180.8786257392284</v>
      </c>
      <c r="E181" s="188">
        <f t="shared" si="8"/>
        <v>1065.3</v>
      </c>
      <c r="F181" s="17"/>
    </row>
    <row r="182" spans="1:6" x14ac:dyDescent="0.2">
      <c r="A182" s="18"/>
      <c r="B182" s="185">
        <v>160</v>
      </c>
      <c r="C182" s="186">
        <v>193900</v>
      </c>
      <c r="D182" s="219">
        <v>180.87686567164178</v>
      </c>
      <c r="E182" s="188">
        <f t="shared" si="8"/>
        <v>1072</v>
      </c>
      <c r="F182" s="17"/>
    </row>
    <row r="183" spans="1:6" x14ac:dyDescent="0.2">
      <c r="A183" s="18"/>
      <c r="B183" s="185">
        <v>161</v>
      </c>
      <c r="C183" s="218">
        <v>195150</v>
      </c>
      <c r="D183" s="219">
        <v>180.91220914063223</v>
      </c>
      <c r="E183" s="188">
        <f t="shared" si="8"/>
        <v>1078.7</v>
      </c>
      <c r="F183" s="17"/>
    </row>
    <row r="184" spans="1:6" x14ac:dyDescent="0.2">
      <c r="A184" s="18"/>
      <c r="B184" s="185">
        <v>162</v>
      </c>
      <c r="C184" s="218">
        <v>196400</v>
      </c>
      <c r="D184" s="219">
        <v>180.94711627049935</v>
      </c>
      <c r="E184" s="188">
        <f t="shared" si="8"/>
        <v>1085.4000000000001</v>
      </c>
      <c r="F184" s="17"/>
    </row>
    <row r="185" spans="1:6" x14ac:dyDescent="0.2">
      <c r="A185" s="18"/>
      <c r="B185" s="185">
        <v>163</v>
      </c>
      <c r="C185" s="218">
        <v>197650</v>
      </c>
      <c r="D185" s="219">
        <v>180.98159509202452</v>
      </c>
      <c r="E185" s="188">
        <f t="shared" si="8"/>
        <v>1092.1000000000001</v>
      </c>
      <c r="F185" s="17"/>
    </row>
    <row r="186" spans="1:6" x14ac:dyDescent="0.2">
      <c r="A186" s="18"/>
      <c r="B186" s="185">
        <v>164</v>
      </c>
      <c r="C186" s="218">
        <v>198900</v>
      </c>
      <c r="D186" s="219">
        <v>181.01565344011649</v>
      </c>
      <c r="E186" s="188">
        <f t="shared" si="8"/>
        <v>1098.8</v>
      </c>
      <c r="F186" s="17"/>
    </row>
    <row r="187" spans="1:6" x14ac:dyDescent="0.2">
      <c r="A187" s="18"/>
      <c r="B187" s="185">
        <v>165</v>
      </c>
      <c r="C187" s="218">
        <v>200150</v>
      </c>
      <c r="D187" s="219">
        <v>181.04929895974672</v>
      </c>
      <c r="E187" s="188">
        <f t="shared" si="8"/>
        <v>1105.5</v>
      </c>
      <c r="F187" s="17"/>
    </row>
    <row r="188" spans="1:6" x14ac:dyDescent="0.2">
      <c r="A188" s="18"/>
      <c r="B188" s="185">
        <v>166</v>
      </c>
      <c r="C188" s="218">
        <v>201400</v>
      </c>
      <c r="D188" s="219">
        <v>181.08253911167054</v>
      </c>
      <c r="E188" s="188">
        <f t="shared" si="8"/>
        <v>1112.2</v>
      </c>
      <c r="F188" s="17"/>
    </row>
    <row r="189" spans="1:6" x14ac:dyDescent="0.2">
      <c r="A189" s="18"/>
      <c r="B189" s="185">
        <v>167</v>
      </c>
      <c r="C189" s="218">
        <v>202640</v>
      </c>
      <c r="D189" s="219">
        <v>181.10644382876038</v>
      </c>
      <c r="E189" s="188">
        <f t="shared" si="8"/>
        <v>1118.9000000000001</v>
      </c>
      <c r="F189" s="17"/>
    </row>
    <row r="190" spans="1:6" x14ac:dyDescent="0.2">
      <c r="A190" s="18"/>
      <c r="B190" s="185">
        <v>168</v>
      </c>
      <c r="C190" s="218">
        <v>203880</v>
      </c>
      <c r="D190" s="219">
        <v>181.13006396588483</v>
      </c>
      <c r="E190" s="188">
        <f t="shared" si="8"/>
        <v>1125.6000000000001</v>
      </c>
      <c r="F190" s="17"/>
    </row>
    <row r="191" spans="1:6" x14ac:dyDescent="0.2">
      <c r="A191" s="18"/>
      <c r="B191" s="185">
        <v>169</v>
      </c>
      <c r="C191" s="218">
        <v>205120</v>
      </c>
      <c r="D191" s="219">
        <v>181.15340457475935</v>
      </c>
      <c r="E191" s="188">
        <f t="shared" si="8"/>
        <v>1132.3</v>
      </c>
      <c r="F191" s="17"/>
    </row>
    <row r="192" spans="1:6" x14ac:dyDescent="0.2">
      <c r="A192" s="18"/>
      <c r="B192" s="185">
        <v>170</v>
      </c>
      <c r="C192" s="186">
        <v>206400</v>
      </c>
      <c r="D192" s="219">
        <v>181.21158911325725</v>
      </c>
      <c r="E192" s="188">
        <f t="shared" si="8"/>
        <v>1139</v>
      </c>
      <c r="F192" s="17"/>
    </row>
    <row r="193" spans="1:6" x14ac:dyDescent="0.2">
      <c r="A193" s="18"/>
      <c r="B193" s="185">
        <v>171</v>
      </c>
      <c r="C193" s="218">
        <v>207640</v>
      </c>
      <c r="D193" s="219">
        <v>181.23417997730644</v>
      </c>
      <c r="E193" s="188">
        <f t="shared" si="8"/>
        <v>1145.7</v>
      </c>
      <c r="F193" s="17"/>
    </row>
    <row r="194" spans="1:6" x14ac:dyDescent="0.2">
      <c r="A194" s="18"/>
      <c r="B194" s="185">
        <v>172</v>
      </c>
      <c r="C194" s="218">
        <v>208880</v>
      </c>
      <c r="D194" s="219">
        <v>181.25650815688996</v>
      </c>
      <c r="E194" s="188">
        <f t="shared" si="8"/>
        <v>1152.4000000000001</v>
      </c>
      <c r="F194" s="17"/>
    </row>
    <row r="195" spans="1:6" x14ac:dyDescent="0.2">
      <c r="A195" s="18"/>
      <c r="B195" s="185">
        <v>173</v>
      </c>
      <c r="C195" s="218">
        <v>210120</v>
      </c>
      <c r="D195" s="219">
        <v>181.27857820722971</v>
      </c>
      <c r="E195" s="188">
        <f t="shared" si="8"/>
        <v>1159.1000000000001</v>
      </c>
      <c r="F195" s="17"/>
    </row>
    <row r="196" spans="1:6" x14ac:dyDescent="0.2">
      <c r="A196" s="18"/>
      <c r="B196" s="185">
        <v>174</v>
      </c>
      <c r="C196" s="218">
        <v>211360</v>
      </c>
      <c r="D196" s="219">
        <v>181.30039457883001</v>
      </c>
      <c r="E196" s="188">
        <f t="shared" si="8"/>
        <v>1165.8</v>
      </c>
      <c r="F196" s="17"/>
    </row>
    <row r="197" spans="1:6" x14ac:dyDescent="0.2">
      <c r="A197" s="18"/>
      <c r="B197" s="185">
        <v>175</v>
      </c>
      <c r="C197" s="218">
        <v>212600</v>
      </c>
      <c r="D197" s="219">
        <v>181.3219616204691</v>
      </c>
      <c r="E197" s="188">
        <f t="shared" si="8"/>
        <v>1172.5</v>
      </c>
      <c r="F197" s="17"/>
    </row>
    <row r="198" spans="1:6" x14ac:dyDescent="0.2">
      <c r="A198" s="18"/>
      <c r="B198" s="185">
        <v>176</v>
      </c>
      <c r="C198" s="218">
        <v>213840</v>
      </c>
      <c r="D198" s="219">
        <v>181.34328358208955</v>
      </c>
      <c r="E198" s="188">
        <f t="shared" si="8"/>
        <v>1179.2</v>
      </c>
      <c r="F198" s="17"/>
    </row>
    <row r="199" spans="1:6" x14ac:dyDescent="0.2">
      <c r="A199" s="18"/>
      <c r="B199" s="185">
        <v>177</v>
      </c>
      <c r="C199" s="218">
        <v>215090</v>
      </c>
      <c r="D199" s="219">
        <v>181.37279703179018</v>
      </c>
      <c r="E199" s="188">
        <f t="shared" si="8"/>
        <v>1185.9000000000001</v>
      </c>
      <c r="F199" s="17"/>
    </row>
    <row r="200" spans="1:6" x14ac:dyDescent="0.2">
      <c r="A200" s="18"/>
      <c r="B200" s="185">
        <v>178</v>
      </c>
      <c r="C200" s="218">
        <v>216340</v>
      </c>
      <c r="D200" s="219">
        <v>181.40197886969645</v>
      </c>
      <c r="E200" s="188">
        <f t="shared" si="8"/>
        <v>1192.6000000000001</v>
      </c>
      <c r="F200" s="17"/>
    </row>
    <row r="201" spans="1:6" x14ac:dyDescent="0.2">
      <c r="A201" s="18"/>
      <c r="B201" s="185">
        <v>179</v>
      </c>
      <c r="C201" s="218">
        <v>217590</v>
      </c>
      <c r="D201" s="219">
        <v>181.43083465354792</v>
      </c>
      <c r="E201" s="188">
        <f t="shared" si="8"/>
        <v>1199.3</v>
      </c>
      <c r="F201" s="17"/>
    </row>
    <row r="202" spans="1:6" x14ac:dyDescent="0.2">
      <c r="A202" s="18"/>
      <c r="B202" s="185">
        <v>180</v>
      </c>
      <c r="C202" s="186">
        <v>218800</v>
      </c>
      <c r="D202" s="219">
        <v>181.4262023217247</v>
      </c>
      <c r="E202" s="188">
        <f t="shared" si="8"/>
        <v>1206</v>
      </c>
      <c r="F202" s="17"/>
    </row>
    <row r="203" spans="1:6" x14ac:dyDescent="0.2">
      <c r="A203" s="18"/>
      <c r="B203" s="185">
        <v>181</v>
      </c>
      <c r="C203" s="218">
        <v>220050</v>
      </c>
      <c r="D203" s="219">
        <v>181.45460542590911</v>
      </c>
      <c r="E203" s="188">
        <f t="shared" si="8"/>
        <v>1212.7</v>
      </c>
      <c r="F203" s="17"/>
    </row>
    <row r="204" spans="1:6" x14ac:dyDescent="0.2">
      <c r="A204" s="18"/>
      <c r="B204" s="185">
        <v>182</v>
      </c>
      <c r="C204" s="218">
        <v>221300</v>
      </c>
      <c r="D204" s="219">
        <v>181.48269640806953</v>
      </c>
      <c r="E204" s="188">
        <f t="shared" si="8"/>
        <v>1219.4000000000001</v>
      </c>
      <c r="F204" s="17"/>
    </row>
    <row r="205" spans="1:6" x14ac:dyDescent="0.2">
      <c r="A205" s="18"/>
      <c r="B205" s="185">
        <v>183</v>
      </c>
      <c r="C205" s="218">
        <v>222550</v>
      </c>
      <c r="D205" s="219">
        <v>181.51048038496043</v>
      </c>
      <c r="E205" s="188">
        <f t="shared" si="8"/>
        <v>1226.1000000000001</v>
      </c>
      <c r="F205" s="17"/>
    </row>
    <row r="206" spans="1:6" x14ac:dyDescent="0.2">
      <c r="A206" s="18"/>
      <c r="B206" s="185">
        <v>184</v>
      </c>
      <c r="C206" s="218">
        <v>223800</v>
      </c>
      <c r="D206" s="219">
        <v>181.53796236210255</v>
      </c>
      <c r="E206" s="188">
        <f t="shared" si="8"/>
        <v>1232.8</v>
      </c>
      <c r="F206" s="17"/>
    </row>
    <row r="207" spans="1:6" x14ac:dyDescent="0.2">
      <c r="A207" s="18"/>
      <c r="B207" s="185">
        <v>185</v>
      </c>
      <c r="C207" s="218">
        <v>225050</v>
      </c>
      <c r="D207" s="219">
        <v>181.56514723678902</v>
      </c>
      <c r="E207" s="188">
        <f t="shared" si="8"/>
        <v>1239.5</v>
      </c>
      <c r="F207" s="17"/>
    </row>
    <row r="208" spans="1:6" x14ac:dyDescent="0.2">
      <c r="A208" s="18"/>
      <c r="B208" s="185">
        <v>186</v>
      </c>
      <c r="C208" s="218">
        <v>226300</v>
      </c>
      <c r="D208" s="219">
        <v>181.59203980099502</v>
      </c>
      <c r="E208" s="188">
        <f t="shared" si="8"/>
        <v>1246.2</v>
      </c>
      <c r="F208" s="17"/>
    </row>
    <row r="209" spans="1:6" x14ac:dyDescent="0.2">
      <c r="A209" s="18"/>
      <c r="B209" s="185">
        <v>187</v>
      </c>
      <c r="C209" s="218">
        <v>227540</v>
      </c>
      <c r="D209" s="219">
        <v>181.61066326123392</v>
      </c>
      <c r="E209" s="188">
        <f t="shared" si="8"/>
        <v>1252.9000000000001</v>
      </c>
      <c r="F209" s="17"/>
    </row>
    <row r="210" spans="1:6" x14ac:dyDescent="0.2">
      <c r="A210" s="18"/>
      <c r="B210" s="185">
        <v>188</v>
      </c>
      <c r="C210" s="218">
        <v>228780</v>
      </c>
      <c r="D210" s="219">
        <v>181.62908859955539</v>
      </c>
      <c r="E210" s="188">
        <f t="shared" si="8"/>
        <v>1259.6000000000001</v>
      </c>
      <c r="F210" s="17"/>
    </row>
    <row r="211" spans="1:6" x14ac:dyDescent="0.2">
      <c r="A211" s="18"/>
      <c r="B211" s="185">
        <v>189</v>
      </c>
      <c r="C211" s="218">
        <v>230020</v>
      </c>
      <c r="D211" s="219">
        <v>181.64731896075179</v>
      </c>
      <c r="E211" s="188">
        <f t="shared" si="8"/>
        <v>1266.3</v>
      </c>
      <c r="F211" s="17"/>
    </row>
    <row r="212" spans="1:6" x14ac:dyDescent="0.2">
      <c r="A212" s="18"/>
      <c r="B212" s="185">
        <v>190</v>
      </c>
      <c r="C212" s="231">
        <v>231300</v>
      </c>
      <c r="D212" s="219">
        <v>181.69677926158681</v>
      </c>
      <c r="E212" s="188">
        <f t="shared" si="8"/>
        <v>1273</v>
      </c>
      <c r="F212" s="17"/>
    </row>
    <row r="213" spans="1:6" x14ac:dyDescent="0.2">
      <c r="A213" s="18"/>
      <c r="B213" s="185">
        <v>191</v>
      </c>
      <c r="C213" s="218">
        <v>232540</v>
      </c>
      <c r="D213" s="219">
        <v>181.71446432757676</v>
      </c>
      <c r="E213" s="188">
        <f t="shared" si="8"/>
        <v>1279.7</v>
      </c>
      <c r="F213" s="17"/>
    </row>
    <row r="214" spans="1:6" x14ac:dyDescent="0.2">
      <c r="A214" s="18"/>
      <c r="B214" s="185">
        <v>192</v>
      </c>
      <c r="C214" s="218">
        <v>233780</v>
      </c>
      <c r="D214" s="219">
        <v>181.73196517412933</v>
      </c>
      <c r="E214" s="188">
        <f t="shared" si="8"/>
        <v>1286.4000000000001</v>
      </c>
      <c r="F214" s="17"/>
    </row>
    <row r="215" spans="1:6" x14ac:dyDescent="0.2">
      <c r="A215" s="18"/>
      <c r="B215" s="185">
        <v>193</v>
      </c>
      <c r="C215" s="218">
        <v>235020</v>
      </c>
      <c r="D215" s="219">
        <v>181.74928466475907</v>
      </c>
      <c r="E215" s="188">
        <f t="shared" si="8"/>
        <v>1293.1000000000001</v>
      </c>
      <c r="F215" s="17"/>
    </row>
    <row r="216" spans="1:6" x14ac:dyDescent="0.2">
      <c r="A216" s="18"/>
      <c r="B216" s="185">
        <v>194</v>
      </c>
      <c r="C216" s="218">
        <v>236260</v>
      </c>
      <c r="D216" s="219">
        <v>181.76642560393907</v>
      </c>
      <c r="E216" s="188">
        <f t="shared" si="8"/>
        <v>1299.8</v>
      </c>
      <c r="F216" s="17"/>
    </row>
    <row r="217" spans="1:6" x14ac:dyDescent="0.2">
      <c r="A217" s="18"/>
      <c r="B217" s="185">
        <v>195</v>
      </c>
      <c r="C217" s="218">
        <v>237500</v>
      </c>
      <c r="D217" s="219">
        <v>181.78339073861463</v>
      </c>
      <c r="E217" s="188">
        <f t="shared" si="8"/>
        <v>1306.5</v>
      </c>
      <c r="F217" s="17"/>
    </row>
    <row r="218" spans="1:6" x14ac:dyDescent="0.2">
      <c r="A218" s="18"/>
      <c r="B218" s="185">
        <v>196</v>
      </c>
      <c r="C218" s="218">
        <v>238740</v>
      </c>
      <c r="D218" s="219">
        <v>181.80018275967103</v>
      </c>
      <c r="E218" s="188">
        <f t="shared" si="8"/>
        <v>1313.2</v>
      </c>
      <c r="F218" s="17"/>
    </row>
    <row r="219" spans="1:6" x14ac:dyDescent="0.2">
      <c r="A219" s="18"/>
      <c r="B219" s="185">
        <v>197</v>
      </c>
      <c r="C219" s="218">
        <v>239990</v>
      </c>
      <c r="D219" s="219">
        <v>181.82438063489658</v>
      </c>
      <c r="E219" s="188">
        <f t="shared" si="8"/>
        <v>1319.9</v>
      </c>
      <c r="F219" s="17"/>
    </row>
    <row r="220" spans="1:6" x14ac:dyDescent="0.2">
      <c r="A220" s="18"/>
      <c r="B220" s="185">
        <v>198</v>
      </c>
      <c r="C220" s="218">
        <v>241240</v>
      </c>
      <c r="D220" s="219">
        <v>181.84833408714005</v>
      </c>
      <c r="E220" s="188">
        <f t="shared" si="8"/>
        <v>1326.6000000000001</v>
      </c>
      <c r="F220" s="17"/>
    </row>
    <row r="221" spans="1:6" x14ac:dyDescent="0.2">
      <c r="A221" s="18"/>
      <c r="B221" s="185">
        <v>199</v>
      </c>
      <c r="C221" s="218">
        <v>242490</v>
      </c>
      <c r="D221" s="219">
        <v>181.87204680117003</v>
      </c>
      <c r="E221" s="188">
        <f t="shared" si="8"/>
        <v>1333.3</v>
      </c>
      <c r="F221" s="17"/>
    </row>
    <row r="222" spans="1:6" x14ac:dyDescent="0.2">
      <c r="A222" s="18"/>
      <c r="B222" s="185">
        <v>200</v>
      </c>
      <c r="C222" s="231">
        <v>243700</v>
      </c>
      <c r="D222" s="219">
        <v>181.86567164179104</v>
      </c>
      <c r="E222" s="188">
        <f t="shared" si="8"/>
        <v>1340</v>
      </c>
      <c r="F222" s="17"/>
    </row>
    <row r="223" spans="1:6" x14ac:dyDescent="0.2">
      <c r="A223" s="18"/>
      <c r="B223" s="185">
        <v>201</v>
      </c>
      <c r="C223" s="218">
        <v>244950</v>
      </c>
      <c r="D223" s="219">
        <v>181.88906215192694</v>
      </c>
      <c r="E223" s="188">
        <f t="shared" si="8"/>
        <v>1346.7</v>
      </c>
      <c r="F223" s="17"/>
    </row>
    <row r="224" spans="1:6" x14ac:dyDescent="0.2">
      <c r="A224" s="18"/>
      <c r="B224" s="185">
        <v>202</v>
      </c>
      <c r="C224" s="218">
        <v>246200</v>
      </c>
      <c r="D224" s="219">
        <v>181.91222107285355</v>
      </c>
      <c r="E224" s="188">
        <f t="shared" ref="E224:E287" si="9">B224*6.7</f>
        <v>1353.4</v>
      </c>
      <c r="F224" s="17"/>
    </row>
    <row r="225" spans="1:6" x14ac:dyDescent="0.2">
      <c r="A225" s="18"/>
      <c r="B225" s="185">
        <v>203</v>
      </c>
      <c r="C225" s="218">
        <v>247450</v>
      </c>
      <c r="D225" s="219">
        <v>181.93515182707151</v>
      </c>
      <c r="E225" s="188">
        <f t="shared" si="9"/>
        <v>1360.1000000000001</v>
      </c>
      <c r="F225" s="17"/>
    </row>
    <row r="226" spans="1:6" x14ac:dyDescent="0.2">
      <c r="A226" s="18"/>
      <c r="B226" s="185">
        <v>204</v>
      </c>
      <c r="C226" s="218">
        <v>248700</v>
      </c>
      <c r="D226" s="219">
        <v>181.95785776997366</v>
      </c>
      <c r="E226" s="188">
        <f t="shared" si="9"/>
        <v>1366.8</v>
      </c>
      <c r="F226" s="17"/>
    </row>
    <row r="227" spans="1:6" x14ac:dyDescent="0.2">
      <c r="A227" s="18"/>
      <c r="B227" s="185">
        <v>205</v>
      </c>
      <c r="C227" s="218">
        <v>249950</v>
      </c>
      <c r="D227" s="219">
        <v>181.98034219148161</v>
      </c>
      <c r="E227" s="188">
        <f t="shared" si="9"/>
        <v>1373.5</v>
      </c>
      <c r="F227" s="17"/>
    </row>
    <row r="228" spans="1:6" x14ac:dyDescent="0.2">
      <c r="A228" s="18"/>
      <c r="B228" s="185">
        <v>206</v>
      </c>
      <c r="C228" s="218">
        <v>251200</v>
      </c>
      <c r="D228" s="219">
        <v>182.00260831763512</v>
      </c>
      <c r="E228" s="188">
        <f t="shared" si="9"/>
        <v>1380.2</v>
      </c>
      <c r="F228" s="17"/>
    </row>
    <row r="229" spans="1:6" x14ac:dyDescent="0.2">
      <c r="A229" s="18"/>
      <c r="B229" s="185">
        <v>207</v>
      </c>
      <c r="C229" s="218">
        <v>252450</v>
      </c>
      <c r="D229" s="219">
        <v>182.02465931213496</v>
      </c>
      <c r="E229" s="188">
        <f t="shared" si="9"/>
        <v>1386.9</v>
      </c>
      <c r="F229" s="17"/>
    </row>
    <row r="230" spans="1:6" x14ac:dyDescent="0.2">
      <c r="A230" s="18"/>
      <c r="B230" s="185">
        <v>208</v>
      </c>
      <c r="C230" s="218">
        <v>253700</v>
      </c>
      <c r="D230" s="219">
        <v>182.04649827784155</v>
      </c>
      <c r="E230" s="188">
        <f t="shared" si="9"/>
        <v>1393.6000000000001</v>
      </c>
      <c r="F230" s="17"/>
    </row>
    <row r="231" spans="1:6" x14ac:dyDescent="0.2">
      <c r="A231" s="18"/>
      <c r="B231" s="185">
        <v>209</v>
      </c>
      <c r="C231" s="218">
        <v>254950</v>
      </c>
      <c r="D231" s="219">
        <v>182.06812825823039</v>
      </c>
      <c r="E231" s="188">
        <f t="shared" si="9"/>
        <v>1400.3</v>
      </c>
      <c r="F231" s="17"/>
    </row>
    <row r="232" spans="1:6" x14ac:dyDescent="0.2">
      <c r="A232" s="18"/>
      <c r="B232" s="185">
        <v>210</v>
      </c>
      <c r="C232" s="231">
        <v>256200</v>
      </c>
      <c r="D232" s="219">
        <v>182.08955223880596</v>
      </c>
      <c r="E232" s="188">
        <f t="shared" si="9"/>
        <v>1407</v>
      </c>
      <c r="F232" s="17"/>
    </row>
    <row r="233" spans="1:6" x14ac:dyDescent="0.2">
      <c r="A233" s="18"/>
      <c r="B233" s="185">
        <v>211</v>
      </c>
      <c r="C233" s="218">
        <v>257450</v>
      </c>
      <c r="D233" s="219">
        <v>182.11077314847563</v>
      </c>
      <c r="E233" s="188">
        <f t="shared" si="9"/>
        <v>1413.7</v>
      </c>
      <c r="F233" s="17"/>
    </row>
    <row r="234" spans="1:6" x14ac:dyDescent="0.2">
      <c r="A234" s="18"/>
      <c r="B234" s="185">
        <v>212</v>
      </c>
      <c r="C234" s="218">
        <v>258700</v>
      </c>
      <c r="D234" s="219">
        <v>182.13179386088424</v>
      </c>
      <c r="E234" s="188">
        <f t="shared" si="9"/>
        <v>1420.4</v>
      </c>
      <c r="F234" s="17"/>
    </row>
    <row r="235" spans="1:6" x14ac:dyDescent="0.2">
      <c r="A235" s="18"/>
      <c r="B235" s="185">
        <v>213</v>
      </c>
      <c r="C235" s="218">
        <v>259950</v>
      </c>
      <c r="D235" s="219">
        <v>182.15261719571157</v>
      </c>
      <c r="E235" s="188">
        <f t="shared" si="9"/>
        <v>1427.1000000000001</v>
      </c>
      <c r="F235" s="17"/>
    </row>
    <row r="236" spans="1:6" x14ac:dyDescent="0.2">
      <c r="A236" s="18"/>
      <c r="B236" s="185">
        <v>214</v>
      </c>
      <c r="C236" s="218">
        <v>261200</v>
      </c>
      <c r="D236" s="219">
        <v>182.17324591993304</v>
      </c>
      <c r="E236" s="188">
        <f t="shared" si="9"/>
        <v>1433.8</v>
      </c>
      <c r="F236" s="17"/>
    </row>
    <row r="237" spans="1:6" x14ac:dyDescent="0.2">
      <c r="A237" s="18"/>
      <c r="B237" s="185">
        <v>215</v>
      </c>
      <c r="C237" s="218">
        <v>262450</v>
      </c>
      <c r="D237" s="219">
        <v>182.19368274904548</v>
      </c>
      <c r="E237" s="188">
        <f t="shared" si="9"/>
        <v>1440.5</v>
      </c>
      <c r="F237" s="17"/>
    </row>
    <row r="238" spans="1:6" x14ac:dyDescent="0.2">
      <c r="A238" s="18"/>
      <c r="B238" s="185">
        <v>216</v>
      </c>
      <c r="C238" s="218">
        <v>263700</v>
      </c>
      <c r="D238" s="219">
        <v>182.21393034825871</v>
      </c>
      <c r="E238" s="188">
        <f t="shared" si="9"/>
        <v>1447.2</v>
      </c>
      <c r="F238" s="17"/>
    </row>
    <row r="239" spans="1:6" x14ac:dyDescent="0.2">
      <c r="A239" s="18"/>
      <c r="B239" s="185">
        <v>217</v>
      </c>
      <c r="C239" s="218">
        <v>264950</v>
      </c>
      <c r="D239" s="219">
        <v>182.2339913336543</v>
      </c>
      <c r="E239" s="188">
        <f t="shared" si="9"/>
        <v>1453.9</v>
      </c>
      <c r="F239" s="17"/>
    </row>
    <row r="240" spans="1:6" x14ac:dyDescent="0.2">
      <c r="A240" s="18"/>
      <c r="B240" s="185">
        <v>218</v>
      </c>
      <c r="C240" s="218">
        <v>266200</v>
      </c>
      <c r="D240" s="219">
        <v>182.25386827331232</v>
      </c>
      <c r="E240" s="188">
        <f t="shared" si="9"/>
        <v>1460.6000000000001</v>
      </c>
      <c r="F240" s="17"/>
    </row>
    <row r="241" spans="1:6" x14ac:dyDescent="0.2">
      <c r="A241" s="18"/>
      <c r="B241" s="185">
        <v>219</v>
      </c>
      <c r="C241" s="218">
        <v>267450</v>
      </c>
      <c r="D241" s="219">
        <v>182.27356368840728</v>
      </c>
      <c r="E241" s="188">
        <f t="shared" si="9"/>
        <v>1467.3</v>
      </c>
      <c r="F241" s="17"/>
    </row>
    <row r="242" spans="1:6" x14ac:dyDescent="0.2">
      <c r="A242" s="18"/>
      <c r="B242" s="185">
        <v>220</v>
      </c>
      <c r="C242" s="231">
        <v>268700</v>
      </c>
      <c r="D242" s="219">
        <v>182.29308005427407</v>
      </c>
      <c r="E242" s="188">
        <f t="shared" si="9"/>
        <v>1474</v>
      </c>
      <c r="F242" s="17"/>
    </row>
    <row r="243" spans="1:6" x14ac:dyDescent="0.2">
      <c r="A243" s="18"/>
      <c r="B243" s="185">
        <v>221</v>
      </c>
      <c r="C243" s="218">
        <v>269950</v>
      </c>
      <c r="D243" s="219">
        <v>182.31241980144526</v>
      </c>
      <c r="E243" s="188">
        <f t="shared" si="9"/>
        <v>1480.7</v>
      </c>
      <c r="F243" s="17"/>
    </row>
    <row r="244" spans="1:6" x14ac:dyDescent="0.2">
      <c r="A244" s="18"/>
      <c r="B244" s="185">
        <v>222</v>
      </c>
      <c r="C244" s="218">
        <v>271200</v>
      </c>
      <c r="D244" s="219">
        <v>182.33158531665993</v>
      </c>
      <c r="E244" s="188">
        <f t="shared" si="9"/>
        <v>1487.4</v>
      </c>
      <c r="F244" s="17"/>
    </row>
    <row r="245" spans="1:6" x14ac:dyDescent="0.2">
      <c r="A245" s="18"/>
      <c r="B245" s="185">
        <v>223</v>
      </c>
      <c r="C245" s="218">
        <v>272450</v>
      </c>
      <c r="D245" s="219">
        <v>182.35057894384579</v>
      </c>
      <c r="E245" s="188">
        <f t="shared" si="9"/>
        <v>1494.1000000000001</v>
      </c>
      <c r="F245" s="17"/>
    </row>
    <row r="246" spans="1:6" x14ac:dyDescent="0.2">
      <c r="A246" s="18"/>
      <c r="B246" s="185">
        <v>224</v>
      </c>
      <c r="C246" s="218">
        <v>273700</v>
      </c>
      <c r="D246" s="219">
        <v>182.36940298507463</v>
      </c>
      <c r="E246" s="188">
        <f t="shared" si="9"/>
        <v>1500.8</v>
      </c>
      <c r="F246" s="17"/>
    </row>
    <row r="247" spans="1:6" x14ac:dyDescent="0.2">
      <c r="A247" s="18"/>
      <c r="B247" s="185">
        <v>225</v>
      </c>
      <c r="C247" s="218">
        <v>274950</v>
      </c>
      <c r="D247" s="219">
        <v>182.38805970149255</v>
      </c>
      <c r="E247" s="188">
        <f t="shared" si="9"/>
        <v>1507.5</v>
      </c>
      <c r="F247" s="17"/>
    </row>
    <row r="248" spans="1:6" x14ac:dyDescent="0.2">
      <c r="A248" s="18"/>
      <c r="B248" s="185">
        <v>226</v>
      </c>
      <c r="C248" s="218">
        <v>276200</v>
      </c>
      <c r="D248" s="219">
        <v>182.40655131422534</v>
      </c>
      <c r="E248" s="188">
        <f t="shared" si="9"/>
        <v>1514.2</v>
      </c>
      <c r="F248" s="17"/>
    </row>
    <row r="249" spans="1:6" x14ac:dyDescent="0.2">
      <c r="A249" s="18"/>
      <c r="B249" s="185">
        <v>227</v>
      </c>
      <c r="C249" s="218">
        <v>277460</v>
      </c>
      <c r="D249" s="219">
        <v>182.43145505950423</v>
      </c>
      <c r="E249" s="188">
        <f t="shared" si="9"/>
        <v>1520.9</v>
      </c>
      <c r="F249" s="17"/>
    </row>
    <row r="250" spans="1:6" x14ac:dyDescent="0.2">
      <c r="A250" s="18"/>
      <c r="B250" s="185">
        <v>228</v>
      </c>
      <c r="C250" s="218">
        <v>278720</v>
      </c>
      <c r="D250" s="219">
        <v>182.45614035087718</v>
      </c>
      <c r="E250" s="188">
        <f t="shared" si="9"/>
        <v>1527.6000000000001</v>
      </c>
      <c r="F250" s="17"/>
    </row>
    <row r="251" spans="1:6" x14ac:dyDescent="0.2">
      <c r="A251" s="18"/>
      <c r="B251" s="185">
        <v>229</v>
      </c>
      <c r="C251" s="218">
        <v>279980</v>
      </c>
      <c r="D251" s="219">
        <v>182.48061005018576</v>
      </c>
      <c r="E251" s="188">
        <f t="shared" si="9"/>
        <v>1534.3</v>
      </c>
      <c r="F251" s="17"/>
    </row>
    <row r="252" spans="1:6" x14ac:dyDescent="0.2">
      <c r="A252" s="18"/>
      <c r="B252" s="185">
        <v>230</v>
      </c>
      <c r="C252" s="231">
        <v>281200</v>
      </c>
      <c r="D252" s="219">
        <v>182.47890979883192</v>
      </c>
      <c r="E252" s="188">
        <f t="shared" si="9"/>
        <v>1541</v>
      </c>
      <c r="F252" s="17"/>
    </row>
    <row r="253" spans="1:6" x14ac:dyDescent="0.2">
      <c r="A253" s="18"/>
      <c r="B253" s="185">
        <v>231</v>
      </c>
      <c r="C253" s="218">
        <v>282460</v>
      </c>
      <c r="D253" s="219">
        <v>182.50306907023324</v>
      </c>
      <c r="E253" s="188">
        <f t="shared" si="9"/>
        <v>1547.7</v>
      </c>
      <c r="F253" s="17"/>
    </row>
    <row r="254" spans="1:6" x14ac:dyDescent="0.2">
      <c r="A254" s="18"/>
      <c r="B254" s="185">
        <v>232</v>
      </c>
      <c r="C254" s="218">
        <v>283720</v>
      </c>
      <c r="D254" s="219">
        <v>182.52702007205352</v>
      </c>
      <c r="E254" s="188">
        <f t="shared" si="9"/>
        <v>1554.4</v>
      </c>
      <c r="F254" s="17"/>
    </row>
    <row r="255" spans="1:6" x14ac:dyDescent="0.2">
      <c r="A255" s="18"/>
      <c r="B255" s="185">
        <v>233</v>
      </c>
      <c r="C255" s="218">
        <v>284980</v>
      </c>
      <c r="D255" s="219">
        <v>182.55076548587533</v>
      </c>
      <c r="E255" s="188">
        <f t="shared" si="9"/>
        <v>1561.1000000000001</v>
      </c>
      <c r="F255" s="17"/>
    </row>
    <row r="256" spans="1:6" x14ac:dyDescent="0.2">
      <c r="A256" s="18"/>
      <c r="B256" s="185">
        <v>234</v>
      </c>
      <c r="C256" s="218">
        <v>286240</v>
      </c>
      <c r="D256" s="219">
        <v>182.57430794744229</v>
      </c>
      <c r="E256" s="188">
        <f t="shared" si="9"/>
        <v>1567.8</v>
      </c>
      <c r="F256" s="17"/>
    </row>
    <row r="257" spans="1:6" x14ac:dyDescent="0.2">
      <c r="A257" s="18"/>
      <c r="B257" s="185">
        <v>235</v>
      </c>
      <c r="C257" s="218">
        <v>287500</v>
      </c>
      <c r="D257" s="219">
        <v>182.59765004763418</v>
      </c>
      <c r="E257" s="188">
        <f t="shared" si="9"/>
        <v>1574.5</v>
      </c>
      <c r="F257" s="17"/>
    </row>
    <row r="258" spans="1:6" x14ac:dyDescent="0.2">
      <c r="A258" s="18"/>
      <c r="B258" s="185">
        <v>236</v>
      </c>
      <c r="C258" s="218">
        <v>288760</v>
      </c>
      <c r="D258" s="219">
        <v>182.62079433341765</v>
      </c>
      <c r="E258" s="188">
        <f t="shared" si="9"/>
        <v>1581.2</v>
      </c>
      <c r="F258" s="17"/>
    </row>
    <row r="259" spans="1:6" x14ac:dyDescent="0.2">
      <c r="A259" s="18"/>
      <c r="B259" s="185">
        <v>237</v>
      </c>
      <c r="C259" s="218">
        <v>290010</v>
      </c>
      <c r="D259" s="219">
        <v>182.6374456829775</v>
      </c>
      <c r="E259" s="188">
        <f t="shared" si="9"/>
        <v>1587.9</v>
      </c>
      <c r="F259" s="17"/>
    </row>
    <row r="260" spans="1:6" x14ac:dyDescent="0.2">
      <c r="A260" s="18"/>
      <c r="B260" s="185">
        <v>238</v>
      </c>
      <c r="C260" s="218">
        <v>291260</v>
      </c>
      <c r="D260" s="219">
        <v>182.65395710523015</v>
      </c>
      <c r="E260" s="188">
        <f t="shared" si="9"/>
        <v>1594.6000000000001</v>
      </c>
      <c r="F260" s="17"/>
    </row>
    <row r="261" spans="1:6" x14ac:dyDescent="0.2">
      <c r="A261" s="18"/>
      <c r="B261" s="185">
        <v>239</v>
      </c>
      <c r="C261" s="218">
        <v>292510</v>
      </c>
      <c r="D261" s="219">
        <v>182.67033035658528</v>
      </c>
      <c r="E261" s="188">
        <f t="shared" si="9"/>
        <v>1601.3</v>
      </c>
      <c r="F261" s="17"/>
    </row>
    <row r="262" spans="1:6" x14ac:dyDescent="0.2">
      <c r="A262" s="18"/>
      <c r="B262" s="185">
        <v>240</v>
      </c>
      <c r="C262" s="231">
        <v>293800</v>
      </c>
      <c r="D262" s="219">
        <v>182.71144278606965</v>
      </c>
      <c r="E262" s="188">
        <f t="shared" si="9"/>
        <v>1608</v>
      </c>
      <c r="F262" s="17"/>
    </row>
    <row r="263" spans="1:6" x14ac:dyDescent="0.2">
      <c r="A263" s="18"/>
      <c r="B263" s="185">
        <v>241</v>
      </c>
      <c r="C263" s="218">
        <v>295050</v>
      </c>
      <c r="D263" s="219">
        <v>182.72744163002415</v>
      </c>
      <c r="E263" s="188">
        <f t="shared" si="9"/>
        <v>1614.7</v>
      </c>
      <c r="F263" s="17"/>
    </row>
    <row r="264" spans="1:6" x14ac:dyDescent="0.2">
      <c r="A264" s="18"/>
      <c r="B264" s="185">
        <v>242</v>
      </c>
      <c r="C264" s="218">
        <v>296300</v>
      </c>
      <c r="D264" s="219">
        <v>182.74330825212778</v>
      </c>
      <c r="E264" s="188">
        <f t="shared" si="9"/>
        <v>1621.4</v>
      </c>
      <c r="F264" s="17"/>
    </row>
    <row r="265" spans="1:6" x14ac:dyDescent="0.2">
      <c r="A265" s="18"/>
      <c r="B265" s="185">
        <v>243</v>
      </c>
      <c r="C265" s="218">
        <v>297550</v>
      </c>
      <c r="D265" s="219">
        <v>182.75904428474908</v>
      </c>
      <c r="E265" s="188">
        <f t="shared" si="9"/>
        <v>1628.1000000000001</v>
      </c>
      <c r="F265" s="17"/>
    </row>
    <row r="266" spans="1:6" x14ac:dyDescent="0.2">
      <c r="A266" s="18"/>
      <c r="B266" s="185">
        <v>244</v>
      </c>
      <c r="C266" s="218">
        <v>298800</v>
      </c>
      <c r="D266" s="219">
        <v>182.77465133349645</v>
      </c>
      <c r="E266" s="188">
        <f t="shared" si="9"/>
        <v>1634.8</v>
      </c>
      <c r="F266" s="17"/>
    </row>
    <row r="267" spans="1:6" x14ac:dyDescent="0.2">
      <c r="A267" s="18"/>
      <c r="B267" s="185">
        <v>245</v>
      </c>
      <c r="C267" s="218">
        <v>300050</v>
      </c>
      <c r="D267" s="219">
        <v>182.79013097776425</v>
      </c>
      <c r="E267" s="188">
        <f t="shared" si="9"/>
        <v>1641.5</v>
      </c>
      <c r="F267" s="17"/>
    </row>
    <row r="268" spans="1:6" x14ac:dyDescent="0.2">
      <c r="A268" s="18"/>
      <c r="B268" s="185">
        <v>246</v>
      </c>
      <c r="C268" s="218">
        <v>301300</v>
      </c>
      <c r="D268" s="219">
        <v>182.80548477126561</v>
      </c>
      <c r="E268" s="188">
        <f t="shared" si="9"/>
        <v>1648.2</v>
      </c>
      <c r="F268" s="17"/>
    </row>
    <row r="269" spans="1:6" x14ac:dyDescent="0.2">
      <c r="A269" s="18"/>
      <c r="B269" s="185">
        <v>247</v>
      </c>
      <c r="C269" s="218">
        <v>302550</v>
      </c>
      <c r="D269" s="219">
        <v>182.82071424255241</v>
      </c>
      <c r="E269" s="188">
        <f t="shared" si="9"/>
        <v>1654.9</v>
      </c>
      <c r="F269" s="17"/>
    </row>
    <row r="270" spans="1:6" x14ac:dyDescent="0.2">
      <c r="A270" s="18"/>
      <c r="B270" s="185">
        <v>248</v>
      </c>
      <c r="C270" s="218">
        <v>303800</v>
      </c>
      <c r="D270" s="219">
        <v>182.83582089552237</v>
      </c>
      <c r="E270" s="188">
        <f t="shared" si="9"/>
        <v>1661.6000000000001</v>
      </c>
      <c r="F270" s="17"/>
    </row>
    <row r="271" spans="1:6" x14ac:dyDescent="0.2">
      <c r="A271" s="18"/>
      <c r="B271" s="185">
        <v>249</v>
      </c>
      <c r="C271" s="218">
        <v>305050</v>
      </c>
      <c r="D271" s="219">
        <v>182.85080620991428</v>
      </c>
      <c r="E271" s="188">
        <f t="shared" si="9"/>
        <v>1668.3</v>
      </c>
      <c r="F271" s="17"/>
    </row>
    <row r="272" spans="1:6" x14ac:dyDescent="0.2">
      <c r="A272" s="18"/>
      <c r="B272" s="185">
        <v>250</v>
      </c>
      <c r="C272" s="231">
        <v>306300</v>
      </c>
      <c r="D272" s="219">
        <v>182.86567164179104</v>
      </c>
      <c r="E272" s="188">
        <f t="shared" si="9"/>
        <v>1675</v>
      </c>
      <c r="F272" s="17"/>
    </row>
    <row r="273" spans="1:6" x14ac:dyDescent="0.2">
      <c r="A273" s="18"/>
      <c r="B273" s="185">
        <v>251</v>
      </c>
      <c r="C273" s="218">
        <v>307550</v>
      </c>
      <c r="D273" s="219">
        <v>182.88041862401141</v>
      </c>
      <c r="E273" s="188">
        <f t="shared" si="9"/>
        <v>1681.7</v>
      </c>
      <c r="F273" s="17"/>
    </row>
    <row r="274" spans="1:6" x14ac:dyDescent="0.2">
      <c r="A274" s="18"/>
      <c r="B274" s="185">
        <v>252</v>
      </c>
      <c r="C274" s="218">
        <v>308800</v>
      </c>
      <c r="D274" s="219">
        <v>182.89504856669035</v>
      </c>
      <c r="E274" s="188">
        <f t="shared" si="9"/>
        <v>1688.4</v>
      </c>
      <c r="F274" s="17"/>
    </row>
    <row r="275" spans="1:6" x14ac:dyDescent="0.2">
      <c r="A275" s="18"/>
      <c r="B275" s="185">
        <v>253</v>
      </c>
      <c r="C275" s="218">
        <v>310050</v>
      </c>
      <c r="D275" s="219">
        <v>182.9095628576485</v>
      </c>
      <c r="E275" s="188">
        <f t="shared" si="9"/>
        <v>1695.1000000000001</v>
      </c>
      <c r="F275" s="17"/>
    </row>
    <row r="276" spans="1:6" x14ac:dyDescent="0.2">
      <c r="A276" s="18"/>
      <c r="B276" s="185">
        <v>254</v>
      </c>
      <c r="C276" s="218">
        <v>311300</v>
      </c>
      <c r="D276" s="219">
        <v>182.92396286285111</v>
      </c>
      <c r="E276" s="188">
        <f t="shared" si="9"/>
        <v>1701.8</v>
      </c>
      <c r="F276" s="17"/>
    </row>
    <row r="277" spans="1:6" x14ac:dyDescent="0.2">
      <c r="A277" s="18"/>
      <c r="B277" s="185">
        <v>255</v>
      </c>
      <c r="C277" s="218">
        <v>312550</v>
      </c>
      <c r="D277" s="219">
        <v>182.93824992683642</v>
      </c>
      <c r="E277" s="188">
        <f t="shared" si="9"/>
        <v>1708.5</v>
      </c>
      <c r="F277" s="17"/>
    </row>
    <row r="278" spans="1:6" x14ac:dyDescent="0.2">
      <c r="A278" s="18"/>
      <c r="B278" s="185">
        <v>256</v>
      </c>
      <c r="C278" s="218">
        <v>313800</v>
      </c>
      <c r="D278" s="219">
        <v>182.95242537313433</v>
      </c>
      <c r="E278" s="188">
        <f t="shared" si="9"/>
        <v>1715.2</v>
      </c>
      <c r="F278" s="17"/>
    </row>
    <row r="279" spans="1:6" x14ac:dyDescent="0.2">
      <c r="A279" s="18"/>
      <c r="B279" s="185">
        <v>257</v>
      </c>
      <c r="C279" s="218">
        <v>314040</v>
      </c>
      <c r="D279" s="219">
        <v>182.37992914803414</v>
      </c>
      <c r="E279" s="188">
        <f t="shared" si="9"/>
        <v>1721.9</v>
      </c>
      <c r="F279" s="17"/>
    </row>
    <row r="280" spans="1:6" x14ac:dyDescent="0.2">
      <c r="A280" s="18"/>
      <c r="B280" s="185">
        <v>258</v>
      </c>
      <c r="C280" s="218">
        <v>314280</v>
      </c>
      <c r="D280" s="219">
        <v>181.8118708781673</v>
      </c>
      <c r="E280" s="188">
        <f t="shared" si="9"/>
        <v>1728.6000000000001</v>
      </c>
      <c r="F280" s="17"/>
    </row>
    <row r="281" spans="1:6" x14ac:dyDescent="0.2">
      <c r="A281" s="18"/>
      <c r="B281" s="185">
        <v>259</v>
      </c>
      <c r="C281" s="218">
        <v>314520</v>
      </c>
      <c r="D281" s="219">
        <v>181.24819915864691</v>
      </c>
      <c r="E281" s="188">
        <f t="shared" si="9"/>
        <v>1735.3</v>
      </c>
      <c r="F281" s="17"/>
    </row>
    <row r="282" spans="1:6" x14ac:dyDescent="0.2">
      <c r="A282" s="18"/>
      <c r="B282" s="185">
        <v>260</v>
      </c>
      <c r="C282" s="231">
        <v>318800</v>
      </c>
      <c r="D282" s="219">
        <v>183.00803673938003</v>
      </c>
      <c r="E282" s="188">
        <f t="shared" si="9"/>
        <v>1742</v>
      </c>
      <c r="F282" s="17"/>
    </row>
    <row r="283" spans="1:6" x14ac:dyDescent="0.2">
      <c r="A283" s="18"/>
      <c r="B283" s="185">
        <v>261</v>
      </c>
      <c r="C283" s="218">
        <v>319040</v>
      </c>
      <c r="D283" s="219">
        <v>182.44410133241837</v>
      </c>
      <c r="E283" s="188">
        <f t="shared" si="9"/>
        <v>1748.7</v>
      </c>
      <c r="F283" s="17"/>
    </row>
    <row r="284" spans="1:6" x14ac:dyDescent="0.2">
      <c r="A284" s="18"/>
      <c r="B284" s="185">
        <v>262</v>
      </c>
      <c r="C284" s="218">
        <v>319280</v>
      </c>
      <c r="D284" s="219">
        <v>181.88447077589151</v>
      </c>
      <c r="E284" s="188">
        <f t="shared" si="9"/>
        <v>1755.4</v>
      </c>
      <c r="F284" s="17"/>
    </row>
    <row r="285" spans="1:6" x14ac:dyDescent="0.2">
      <c r="A285" s="18"/>
      <c r="B285" s="185">
        <v>263</v>
      </c>
      <c r="C285" s="218">
        <v>319520</v>
      </c>
      <c r="D285" s="219">
        <v>181.32909596504169</v>
      </c>
      <c r="E285" s="188">
        <f t="shared" si="9"/>
        <v>1762.1000000000001</v>
      </c>
      <c r="F285" s="17"/>
    </row>
    <row r="286" spans="1:6" x14ac:dyDescent="0.2">
      <c r="A286" s="18"/>
      <c r="B286" s="185">
        <v>264</v>
      </c>
      <c r="C286" s="218">
        <v>319760</v>
      </c>
      <c r="D286" s="219">
        <v>180.77792853912257</v>
      </c>
      <c r="E286" s="188">
        <f t="shared" si="9"/>
        <v>1768.8</v>
      </c>
      <c r="F286" s="17"/>
    </row>
    <row r="287" spans="1:6" x14ac:dyDescent="0.2">
      <c r="A287" s="18"/>
      <c r="B287" s="185">
        <v>265</v>
      </c>
      <c r="C287" s="218">
        <v>320000</v>
      </c>
      <c r="D287" s="219">
        <v>180.23092086736131</v>
      </c>
      <c r="E287" s="188">
        <f t="shared" si="9"/>
        <v>1775.5</v>
      </c>
      <c r="F287" s="17"/>
    </row>
    <row r="288" spans="1:6" x14ac:dyDescent="0.2">
      <c r="A288" s="18"/>
      <c r="B288" s="185">
        <v>266</v>
      </c>
      <c r="C288" s="218">
        <v>320240</v>
      </c>
      <c r="D288" s="219">
        <v>179.68802603523733</v>
      </c>
      <c r="E288" s="188">
        <f t="shared" ref="E288:E351" si="10">B288*6.7</f>
        <v>1782.2</v>
      </c>
      <c r="F288" s="17"/>
    </row>
    <row r="289" spans="1:6" x14ac:dyDescent="0.2">
      <c r="A289" s="18"/>
      <c r="B289" s="185">
        <v>267</v>
      </c>
      <c r="C289" s="218">
        <v>322490</v>
      </c>
      <c r="D289" s="219">
        <v>180.27279333668733</v>
      </c>
      <c r="E289" s="188">
        <f t="shared" si="10"/>
        <v>1788.9</v>
      </c>
      <c r="F289" s="17"/>
    </row>
    <row r="290" spans="1:6" x14ac:dyDescent="0.2">
      <c r="A290" s="18"/>
      <c r="B290" s="185">
        <v>268</v>
      </c>
      <c r="C290" s="218">
        <v>324740</v>
      </c>
      <c r="D290" s="219">
        <v>180.85319670305188</v>
      </c>
      <c r="E290" s="188">
        <f t="shared" si="10"/>
        <v>1795.6000000000001</v>
      </c>
      <c r="F290" s="17"/>
    </row>
    <row r="291" spans="1:6" x14ac:dyDescent="0.2">
      <c r="A291" s="18"/>
      <c r="B291" s="185">
        <v>269</v>
      </c>
      <c r="C291" s="218">
        <v>326990</v>
      </c>
      <c r="D291" s="219">
        <v>181.42928480275205</v>
      </c>
      <c r="E291" s="188">
        <f t="shared" si="10"/>
        <v>1802.3</v>
      </c>
      <c r="F291" s="17"/>
    </row>
    <row r="292" spans="1:6" x14ac:dyDescent="0.2">
      <c r="A292" s="18"/>
      <c r="B292" s="185">
        <v>270</v>
      </c>
      <c r="C292" s="231">
        <v>321200</v>
      </c>
      <c r="D292" s="219">
        <v>177.55666113875068</v>
      </c>
      <c r="E292" s="188">
        <f t="shared" si="10"/>
        <v>1809</v>
      </c>
      <c r="F292" s="17"/>
    </row>
    <row r="293" spans="1:6" x14ac:dyDescent="0.2">
      <c r="A293" s="18"/>
      <c r="B293" s="185">
        <v>271</v>
      </c>
      <c r="C293" s="218">
        <v>323450</v>
      </c>
      <c r="D293" s="219">
        <v>178.14066200363496</v>
      </c>
      <c r="E293" s="188">
        <f t="shared" si="10"/>
        <v>1815.7</v>
      </c>
      <c r="F293" s="17"/>
    </row>
    <row r="294" spans="1:6" x14ac:dyDescent="0.2">
      <c r="A294" s="18"/>
      <c r="B294" s="185">
        <v>272</v>
      </c>
      <c r="C294" s="218">
        <v>325700</v>
      </c>
      <c r="D294" s="219">
        <v>178.72036874451271</v>
      </c>
      <c r="E294" s="188">
        <f t="shared" si="10"/>
        <v>1822.4</v>
      </c>
      <c r="F294" s="17"/>
    </row>
    <row r="295" spans="1:6" x14ac:dyDescent="0.2">
      <c r="A295" s="18"/>
      <c r="B295" s="185">
        <v>273</v>
      </c>
      <c r="C295" s="218">
        <v>327950</v>
      </c>
      <c r="D295" s="219">
        <v>179.29582854955987</v>
      </c>
      <c r="E295" s="188">
        <f t="shared" si="10"/>
        <v>1829.1000000000001</v>
      </c>
      <c r="F295" s="17"/>
    </row>
    <row r="296" spans="1:6" x14ac:dyDescent="0.2">
      <c r="A296" s="18"/>
      <c r="B296" s="185">
        <v>274</v>
      </c>
      <c r="C296" s="218">
        <v>330200</v>
      </c>
      <c r="D296" s="219">
        <v>179.86708791807388</v>
      </c>
      <c r="E296" s="188">
        <f t="shared" si="10"/>
        <v>1835.8</v>
      </c>
      <c r="F296" s="17"/>
    </row>
    <row r="297" spans="1:6" x14ac:dyDescent="0.2">
      <c r="A297" s="18"/>
      <c r="B297" s="185">
        <v>275</v>
      </c>
      <c r="C297" s="218">
        <v>332450</v>
      </c>
      <c r="D297" s="219">
        <v>180.43419267299865</v>
      </c>
      <c r="E297" s="188">
        <f t="shared" si="10"/>
        <v>1842.5</v>
      </c>
      <c r="F297" s="17"/>
    </row>
    <row r="298" spans="1:6" x14ac:dyDescent="0.2">
      <c r="A298" s="18"/>
      <c r="B298" s="185">
        <v>276</v>
      </c>
      <c r="C298" s="218">
        <v>334700</v>
      </c>
      <c r="D298" s="219">
        <v>180.99718797317757</v>
      </c>
      <c r="E298" s="188">
        <f t="shared" si="10"/>
        <v>1849.2</v>
      </c>
      <c r="F298" s="17"/>
    </row>
    <row r="299" spans="1:6" x14ac:dyDescent="0.2">
      <c r="A299" s="18"/>
      <c r="B299" s="185">
        <v>277</v>
      </c>
      <c r="C299" s="218">
        <v>335950</v>
      </c>
      <c r="D299" s="219">
        <v>181.0172961905275</v>
      </c>
      <c r="E299" s="188">
        <f t="shared" si="10"/>
        <v>1855.9</v>
      </c>
      <c r="F299" s="17"/>
    </row>
    <row r="300" spans="1:6" x14ac:dyDescent="0.2">
      <c r="A300" s="18"/>
      <c r="B300" s="185">
        <v>278</v>
      </c>
      <c r="C300" s="218">
        <v>337200</v>
      </c>
      <c r="D300" s="219">
        <v>181.03725974444325</v>
      </c>
      <c r="E300" s="188">
        <f t="shared" si="10"/>
        <v>1862.6000000000001</v>
      </c>
      <c r="F300" s="17"/>
    </row>
    <row r="301" spans="1:6" x14ac:dyDescent="0.2">
      <c r="A301" s="18"/>
      <c r="B301" s="185">
        <v>279</v>
      </c>
      <c r="C301" s="218">
        <v>338450</v>
      </c>
      <c r="D301" s="219">
        <v>181.05708019044562</v>
      </c>
      <c r="E301" s="188">
        <f t="shared" si="10"/>
        <v>1869.3</v>
      </c>
      <c r="F301" s="17"/>
    </row>
    <row r="302" spans="1:6" x14ac:dyDescent="0.2">
      <c r="A302" s="18"/>
      <c r="B302" s="185">
        <v>280</v>
      </c>
      <c r="C302" s="231">
        <v>343700</v>
      </c>
      <c r="D302" s="219">
        <v>183.20895522388059</v>
      </c>
      <c r="E302" s="188">
        <f t="shared" si="10"/>
        <v>1876</v>
      </c>
      <c r="F302" s="17"/>
    </row>
    <row r="303" spans="1:6" x14ac:dyDescent="0.2">
      <c r="A303" s="18"/>
      <c r="B303" s="185">
        <v>281</v>
      </c>
      <c r="C303" s="218">
        <v>344950</v>
      </c>
      <c r="D303" s="219">
        <v>183.22090614542944</v>
      </c>
      <c r="E303" s="188">
        <f t="shared" si="10"/>
        <v>1882.7</v>
      </c>
      <c r="F303" s="17"/>
    </row>
    <row r="304" spans="1:6" x14ac:dyDescent="0.2">
      <c r="A304" s="18"/>
      <c r="B304" s="185">
        <v>282</v>
      </c>
      <c r="C304" s="218">
        <v>346200</v>
      </c>
      <c r="D304" s="219">
        <v>183.23277230866941</v>
      </c>
      <c r="E304" s="188">
        <f t="shared" si="10"/>
        <v>1889.4</v>
      </c>
      <c r="F304" s="17"/>
    </row>
    <row r="305" spans="1:6" x14ac:dyDescent="0.2">
      <c r="A305" s="18"/>
      <c r="B305" s="185">
        <v>283</v>
      </c>
      <c r="C305" s="218">
        <v>347450</v>
      </c>
      <c r="D305" s="219">
        <v>183.24455461209851</v>
      </c>
      <c r="E305" s="188">
        <f t="shared" si="10"/>
        <v>1896.1000000000001</v>
      </c>
      <c r="F305" s="17"/>
    </row>
    <row r="306" spans="1:6" x14ac:dyDescent="0.2">
      <c r="A306" s="18"/>
      <c r="B306" s="185">
        <v>284</v>
      </c>
      <c r="C306" s="218">
        <v>348700</v>
      </c>
      <c r="D306" s="219">
        <v>183.25625394155981</v>
      </c>
      <c r="E306" s="188">
        <f t="shared" si="10"/>
        <v>1902.8</v>
      </c>
      <c r="F306" s="17"/>
    </row>
    <row r="307" spans="1:6" x14ac:dyDescent="0.2">
      <c r="A307" s="18"/>
      <c r="B307" s="185">
        <v>285</v>
      </c>
      <c r="C307" s="218">
        <v>349950</v>
      </c>
      <c r="D307" s="219">
        <v>183.26787117046348</v>
      </c>
      <c r="E307" s="188">
        <f t="shared" si="10"/>
        <v>1909.5</v>
      </c>
      <c r="F307" s="17"/>
    </row>
    <row r="308" spans="1:6" x14ac:dyDescent="0.2">
      <c r="A308" s="18"/>
      <c r="B308" s="185">
        <v>286</v>
      </c>
      <c r="C308" s="218">
        <v>351200</v>
      </c>
      <c r="D308" s="219">
        <v>183.27940716000418</v>
      </c>
      <c r="E308" s="188">
        <f t="shared" si="10"/>
        <v>1916.2</v>
      </c>
      <c r="F308" s="17"/>
    </row>
    <row r="309" spans="1:6" x14ac:dyDescent="0.2">
      <c r="A309" s="18"/>
      <c r="B309" s="185">
        <v>287</v>
      </c>
      <c r="C309" s="218">
        <v>352440</v>
      </c>
      <c r="D309" s="219">
        <v>183.28566228092984</v>
      </c>
      <c r="E309" s="188">
        <f t="shared" si="10"/>
        <v>1922.9</v>
      </c>
      <c r="F309" s="17"/>
    </row>
    <row r="310" spans="1:6" x14ac:dyDescent="0.2">
      <c r="A310" s="18"/>
      <c r="B310" s="185">
        <v>288</v>
      </c>
      <c r="C310" s="218">
        <v>353680</v>
      </c>
      <c r="D310" s="219">
        <v>183.29187396351574</v>
      </c>
      <c r="E310" s="188">
        <f t="shared" si="10"/>
        <v>1929.6000000000001</v>
      </c>
      <c r="F310" s="17"/>
    </row>
    <row r="311" spans="1:6" x14ac:dyDescent="0.2">
      <c r="A311" s="18"/>
      <c r="B311" s="185">
        <v>289</v>
      </c>
      <c r="C311" s="218">
        <v>354920</v>
      </c>
      <c r="D311" s="219">
        <v>183.29804265867892</v>
      </c>
      <c r="E311" s="188">
        <f t="shared" si="10"/>
        <v>1936.3</v>
      </c>
      <c r="F311" s="17"/>
    </row>
    <row r="312" spans="1:6" x14ac:dyDescent="0.2">
      <c r="A312" s="18"/>
      <c r="B312" s="185">
        <v>290</v>
      </c>
      <c r="C312" s="231">
        <v>356200</v>
      </c>
      <c r="D312" s="219">
        <v>183.32475553268142</v>
      </c>
      <c r="E312" s="188">
        <f t="shared" si="10"/>
        <v>1943</v>
      </c>
      <c r="F312" s="17"/>
    </row>
    <row r="313" spans="1:6" x14ac:dyDescent="0.2">
      <c r="A313" s="18"/>
      <c r="B313" s="185">
        <v>291</v>
      </c>
      <c r="C313" s="218">
        <v>357440</v>
      </c>
      <c r="D313" s="219">
        <v>183.33076883623121</v>
      </c>
      <c r="E313" s="188">
        <f t="shared" si="10"/>
        <v>1949.7</v>
      </c>
      <c r="F313" s="17"/>
    </row>
    <row r="314" spans="1:6" x14ac:dyDescent="0.2">
      <c r="A314" s="18"/>
      <c r="B314" s="185">
        <v>292</v>
      </c>
      <c r="C314" s="218">
        <v>358680</v>
      </c>
      <c r="D314" s="219">
        <v>183.33674095277038</v>
      </c>
      <c r="E314" s="188">
        <f t="shared" si="10"/>
        <v>1956.4</v>
      </c>
      <c r="F314" s="17"/>
    </row>
    <row r="315" spans="1:6" x14ac:dyDescent="0.2">
      <c r="A315" s="18"/>
      <c r="B315" s="185">
        <v>293</v>
      </c>
      <c r="C315" s="218">
        <v>359920</v>
      </c>
      <c r="D315" s="219">
        <v>183.34267230400894</v>
      </c>
      <c r="E315" s="188">
        <f t="shared" si="10"/>
        <v>1963.1000000000001</v>
      </c>
      <c r="F315" s="17"/>
    </row>
    <row r="316" spans="1:6" x14ac:dyDescent="0.2">
      <c r="A316" s="18"/>
      <c r="B316" s="185">
        <v>294</v>
      </c>
      <c r="C316" s="218">
        <v>361160</v>
      </c>
      <c r="D316" s="219">
        <v>183.34856330591938</v>
      </c>
      <c r="E316" s="188">
        <f t="shared" si="10"/>
        <v>1969.8</v>
      </c>
      <c r="F316" s="17"/>
    </row>
    <row r="317" spans="1:6" x14ac:dyDescent="0.2">
      <c r="A317" s="18"/>
      <c r="B317" s="185">
        <v>295</v>
      </c>
      <c r="C317" s="218">
        <v>362400</v>
      </c>
      <c r="D317" s="219">
        <v>183.3544143688338</v>
      </c>
      <c r="E317" s="188">
        <f t="shared" si="10"/>
        <v>1976.5</v>
      </c>
      <c r="F317" s="17"/>
    </row>
    <row r="318" spans="1:6" x14ac:dyDescent="0.2">
      <c r="A318" s="18"/>
      <c r="B318" s="185">
        <v>296</v>
      </c>
      <c r="C318" s="218">
        <v>363640</v>
      </c>
      <c r="D318" s="219">
        <v>183.36022589753932</v>
      </c>
      <c r="E318" s="188">
        <f t="shared" si="10"/>
        <v>1983.2</v>
      </c>
      <c r="F318" s="17"/>
    </row>
    <row r="319" spans="1:6" x14ac:dyDescent="0.2">
      <c r="A319" s="18"/>
      <c r="B319" s="185">
        <v>297</v>
      </c>
      <c r="C319" s="218">
        <v>364890</v>
      </c>
      <c r="D319" s="219">
        <v>183.37102366953113</v>
      </c>
      <c r="E319" s="188">
        <f t="shared" si="10"/>
        <v>1989.9</v>
      </c>
      <c r="F319" s="17"/>
    </row>
    <row r="320" spans="1:6" x14ac:dyDescent="0.2">
      <c r="A320" s="18"/>
      <c r="B320" s="185">
        <v>298</v>
      </c>
      <c r="C320" s="218">
        <v>366140</v>
      </c>
      <c r="D320" s="219">
        <v>183.38174897325453</v>
      </c>
      <c r="E320" s="188">
        <f t="shared" si="10"/>
        <v>1996.6000000000001</v>
      </c>
      <c r="F320" s="17"/>
    </row>
    <row r="321" spans="1:6" x14ac:dyDescent="0.2">
      <c r="A321" s="18"/>
      <c r="B321" s="185">
        <v>299</v>
      </c>
      <c r="C321" s="218">
        <v>367390</v>
      </c>
      <c r="D321" s="219">
        <v>183.3924025358159</v>
      </c>
      <c r="E321" s="188">
        <f t="shared" si="10"/>
        <v>2003.3</v>
      </c>
      <c r="F321" s="17"/>
    </row>
    <row r="322" spans="1:6" x14ac:dyDescent="0.2">
      <c r="A322" s="18"/>
      <c r="B322" s="185">
        <v>300</v>
      </c>
      <c r="C322" s="231">
        <v>368600</v>
      </c>
      <c r="D322" s="219">
        <v>183.38308457711443</v>
      </c>
      <c r="E322" s="188">
        <f t="shared" si="10"/>
        <v>2010</v>
      </c>
      <c r="F322" s="17"/>
    </row>
    <row r="323" spans="1:6" x14ac:dyDescent="0.2">
      <c r="A323" s="18"/>
      <c r="B323" s="185">
        <v>301</v>
      </c>
      <c r="C323" s="218">
        <v>369850</v>
      </c>
      <c r="D323" s="219">
        <v>183.39366291466257</v>
      </c>
      <c r="E323" s="188">
        <f t="shared" si="10"/>
        <v>2016.7</v>
      </c>
      <c r="F323" s="17"/>
    </row>
    <row r="324" spans="1:6" x14ac:dyDescent="0.2">
      <c r="A324" s="18"/>
      <c r="B324" s="185">
        <v>302</v>
      </c>
      <c r="C324" s="218">
        <v>371100</v>
      </c>
      <c r="D324" s="219">
        <v>183.40417119699515</v>
      </c>
      <c r="E324" s="188">
        <f t="shared" si="10"/>
        <v>2023.4</v>
      </c>
      <c r="F324" s="17"/>
    </row>
    <row r="325" spans="1:6" x14ac:dyDescent="0.2">
      <c r="A325" s="18"/>
      <c r="B325" s="185">
        <v>303</v>
      </c>
      <c r="C325" s="218">
        <v>372350</v>
      </c>
      <c r="D325" s="219">
        <v>183.41461011772819</v>
      </c>
      <c r="E325" s="188">
        <f t="shared" si="10"/>
        <v>2030.1000000000001</v>
      </c>
      <c r="F325" s="17"/>
    </row>
    <row r="326" spans="1:6" x14ac:dyDescent="0.2">
      <c r="A326" s="18"/>
      <c r="B326" s="185">
        <v>304</v>
      </c>
      <c r="C326" s="218">
        <v>373600</v>
      </c>
      <c r="D326" s="219">
        <v>183.42498036135115</v>
      </c>
      <c r="E326" s="188">
        <f t="shared" si="10"/>
        <v>2036.8</v>
      </c>
      <c r="F326" s="17"/>
    </row>
    <row r="327" spans="1:6" x14ac:dyDescent="0.2">
      <c r="A327" s="18"/>
      <c r="B327" s="185">
        <v>305</v>
      </c>
      <c r="C327" s="218">
        <v>374850</v>
      </c>
      <c r="D327" s="219">
        <v>183.43528260337655</v>
      </c>
      <c r="E327" s="188">
        <f t="shared" si="10"/>
        <v>2043.5</v>
      </c>
      <c r="F327" s="17"/>
    </row>
    <row r="328" spans="1:6" x14ac:dyDescent="0.2">
      <c r="A328" s="18"/>
      <c r="B328" s="185">
        <v>306</v>
      </c>
      <c r="C328" s="218">
        <v>376100</v>
      </c>
      <c r="D328" s="219">
        <v>183.44551751048675</v>
      </c>
      <c r="E328" s="188">
        <f t="shared" si="10"/>
        <v>2050.2000000000003</v>
      </c>
      <c r="F328" s="17"/>
    </row>
    <row r="329" spans="1:6" x14ac:dyDescent="0.2">
      <c r="A329" s="18"/>
      <c r="B329" s="185">
        <v>307</v>
      </c>
      <c r="C329" s="218">
        <v>377350</v>
      </c>
      <c r="D329" s="219">
        <v>183.45568574067772</v>
      </c>
      <c r="E329" s="188">
        <f t="shared" si="10"/>
        <v>2056.9</v>
      </c>
      <c r="F329" s="17"/>
    </row>
    <row r="330" spans="1:6" x14ac:dyDescent="0.2">
      <c r="A330" s="18"/>
      <c r="B330" s="185">
        <v>308</v>
      </c>
      <c r="C330" s="218">
        <v>378600</v>
      </c>
      <c r="D330" s="219">
        <v>183.4657879433999</v>
      </c>
      <c r="E330" s="188">
        <f t="shared" si="10"/>
        <v>2063.6</v>
      </c>
      <c r="F330" s="17"/>
    </row>
    <row r="331" spans="1:6" x14ac:dyDescent="0.2">
      <c r="A331" s="18"/>
      <c r="B331" s="185">
        <v>309</v>
      </c>
      <c r="C331" s="218">
        <v>379850</v>
      </c>
      <c r="D331" s="219">
        <v>183.47582475969665</v>
      </c>
      <c r="E331" s="188">
        <f t="shared" si="10"/>
        <v>2070.3000000000002</v>
      </c>
      <c r="F331" s="17"/>
    </row>
    <row r="332" spans="1:6" x14ac:dyDescent="0.2">
      <c r="A332" s="18"/>
      <c r="B332" s="185">
        <v>310</v>
      </c>
      <c r="C332" s="231">
        <v>381100</v>
      </c>
      <c r="D332" s="219">
        <v>183.48579682233992</v>
      </c>
      <c r="E332" s="188">
        <f t="shared" si="10"/>
        <v>2077</v>
      </c>
      <c r="F332" s="17"/>
    </row>
    <row r="333" spans="1:6" x14ac:dyDescent="0.2">
      <c r="A333" s="18"/>
      <c r="B333" s="185">
        <v>311</v>
      </c>
      <c r="C333" s="218">
        <v>382350</v>
      </c>
      <c r="D333" s="219">
        <v>183.49570475596292</v>
      </c>
      <c r="E333" s="188">
        <f t="shared" si="10"/>
        <v>2083.7000000000003</v>
      </c>
      <c r="F333" s="17"/>
    </row>
    <row r="334" spans="1:6" x14ac:dyDescent="0.2">
      <c r="A334" s="18"/>
      <c r="B334" s="185">
        <v>312</v>
      </c>
      <c r="C334" s="218">
        <v>383600</v>
      </c>
      <c r="D334" s="219">
        <v>183.50554917719097</v>
      </c>
      <c r="E334" s="188">
        <f t="shared" si="10"/>
        <v>2090.4</v>
      </c>
      <c r="F334" s="17"/>
    </row>
    <row r="335" spans="1:6" x14ac:dyDescent="0.2">
      <c r="A335" s="18"/>
      <c r="B335" s="185">
        <v>313</v>
      </c>
      <c r="C335" s="218">
        <v>384850</v>
      </c>
      <c r="D335" s="219">
        <v>183.51533069476898</v>
      </c>
      <c r="E335" s="188">
        <f t="shared" si="10"/>
        <v>2097.1</v>
      </c>
      <c r="F335" s="17"/>
    </row>
    <row r="336" spans="1:6" x14ac:dyDescent="0.2">
      <c r="A336" s="18"/>
      <c r="B336" s="185">
        <v>314</v>
      </c>
      <c r="C336" s="218">
        <v>386100</v>
      </c>
      <c r="D336" s="219">
        <v>183.52504990968723</v>
      </c>
      <c r="E336" s="188">
        <f t="shared" si="10"/>
        <v>2103.8000000000002</v>
      </c>
      <c r="F336" s="17"/>
    </row>
    <row r="337" spans="1:6" x14ac:dyDescent="0.2">
      <c r="A337" s="18"/>
      <c r="B337" s="185">
        <v>315</v>
      </c>
      <c r="C337" s="218">
        <v>387350</v>
      </c>
      <c r="D337" s="219">
        <v>183.53470741530444</v>
      </c>
      <c r="E337" s="188">
        <f t="shared" si="10"/>
        <v>2110.5</v>
      </c>
      <c r="F337" s="17"/>
    </row>
    <row r="338" spans="1:6" x14ac:dyDescent="0.2">
      <c r="A338" s="18"/>
      <c r="B338" s="185">
        <v>316</v>
      </c>
      <c r="C338" s="218">
        <v>388600</v>
      </c>
      <c r="D338" s="219">
        <v>183.54430379746833</v>
      </c>
      <c r="E338" s="188">
        <f t="shared" si="10"/>
        <v>2117.2000000000003</v>
      </c>
      <c r="F338" s="17"/>
    </row>
    <row r="339" spans="1:6" x14ac:dyDescent="0.2">
      <c r="A339" s="18"/>
      <c r="B339" s="185">
        <v>317</v>
      </c>
      <c r="C339" s="218">
        <v>389860</v>
      </c>
      <c r="D339" s="219">
        <v>183.55854795423514</v>
      </c>
      <c r="E339" s="188">
        <f t="shared" si="10"/>
        <v>2123.9</v>
      </c>
      <c r="F339" s="17"/>
    </row>
    <row r="340" spans="1:6" x14ac:dyDescent="0.2">
      <c r="A340" s="18"/>
      <c r="B340" s="185">
        <v>318</v>
      </c>
      <c r="C340" s="218">
        <v>391120</v>
      </c>
      <c r="D340" s="219">
        <v>183.57270252511032</v>
      </c>
      <c r="E340" s="188">
        <f t="shared" si="10"/>
        <v>2130.6</v>
      </c>
      <c r="F340" s="18"/>
    </row>
    <row r="341" spans="1:6" x14ac:dyDescent="0.2">
      <c r="A341" s="18"/>
      <c r="B341" s="185">
        <v>319</v>
      </c>
      <c r="C341" s="218">
        <v>392380</v>
      </c>
      <c r="D341" s="219">
        <v>183.58676835259439</v>
      </c>
      <c r="E341" s="188">
        <f t="shared" si="10"/>
        <v>2137.3000000000002</v>
      </c>
      <c r="F341" s="18"/>
    </row>
    <row r="342" spans="1:6" x14ac:dyDescent="0.2">
      <c r="A342" s="18"/>
      <c r="B342" s="185">
        <v>320</v>
      </c>
      <c r="C342" s="231">
        <v>393600</v>
      </c>
      <c r="D342" s="219">
        <v>183.58208955223881</v>
      </c>
      <c r="E342" s="188">
        <f t="shared" si="10"/>
        <v>2144</v>
      </c>
      <c r="F342" s="18"/>
    </row>
    <row r="343" spans="1:6" x14ac:dyDescent="0.2">
      <c r="A343" s="18"/>
      <c r="B343" s="185">
        <v>321</v>
      </c>
      <c r="C343" s="218">
        <v>394860</v>
      </c>
      <c r="D343" s="219">
        <v>183.59603849909328</v>
      </c>
      <c r="E343" s="188">
        <f t="shared" si="10"/>
        <v>2150.7000000000003</v>
      </c>
      <c r="F343" s="18"/>
    </row>
    <row r="344" spans="1:6" x14ac:dyDescent="0.2">
      <c r="A344" s="18"/>
      <c r="B344" s="185">
        <v>322</v>
      </c>
      <c r="C344" s="218">
        <v>396120</v>
      </c>
      <c r="D344" s="219">
        <v>183.60990080652635</v>
      </c>
      <c r="E344" s="188">
        <f t="shared" si="10"/>
        <v>2157.4</v>
      </c>
      <c r="F344" s="18"/>
    </row>
    <row r="345" spans="1:6" x14ac:dyDescent="0.2">
      <c r="A345" s="18"/>
      <c r="B345" s="185">
        <v>323</v>
      </c>
      <c r="C345" s="218">
        <v>397380</v>
      </c>
      <c r="D345" s="219">
        <v>183.62367727923848</v>
      </c>
      <c r="E345" s="188">
        <f t="shared" si="10"/>
        <v>2164.1</v>
      </c>
      <c r="F345" s="18"/>
    </row>
    <row r="346" spans="1:6" x14ac:dyDescent="0.2">
      <c r="A346" s="18"/>
      <c r="B346" s="185">
        <v>324</v>
      </c>
      <c r="C346" s="218">
        <v>398640</v>
      </c>
      <c r="D346" s="219">
        <v>183.63736871199555</v>
      </c>
      <c r="E346" s="188">
        <f t="shared" si="10"/>
        <v>2170.8000000000002</v>
      </c>
      <c r="F346" s="18"/>
    </row>
    <row r="347" spans="1:6" x14ac:dyDescent="0.2">
      <c r="A347" s="18"/>
      <c r="B347" s="185">
        <v>325</v>
      </c>
      <c r="C347" s="218">
        <v>399900</v>
      </c>
      <c r="D347" s="219">
        <v>183.65097588978185</v>
      </c>
      <c r="E347" s="188">
        <f t="shared" si="10"/>
        <v>2177.5</v>
      </c>
      <c r="F347" s="18"/>
    </row>
    <row r="348" spans="1:6" x14ac:dyDescent="0.2">
      <c r="A348" s="18"/>
      <c r="B348" s="185">
        <v>326</v>
      </c>
      <c r="C348" s="218">
        <v>401160</v>
      </c>
      <c r="D348" s="219">
        <v>183.66449958794979</v>
      </c>
      <c r="E348" s="188">
        <f t="shared" si="10"/>
        <v>2184.2000000000003</v>
      </c>
      <c r="F348" s="18"/>
    </row>
    <row r="349" spans="1:6" x14ac:dyDescent="0.2">
      <c r="A349" s="18"/>
      <c r="B349" s="185">
        <v>327</v>
      </c>
      <c r="C349" s="218">
        <v>402410</v>
      </c>
      <c r="D349" s="219">
        <v>183.67337623807566</v>
      </c>
      <c r="E349" s="188">
        <f t="shared" si="10"/>
        <v>2190.9</v>
      </c>
      <c r="F349" s="18"/>
    </row>
    <row r="350" spans="1:6" x14ac:dyDescent="0.2">
      <c r="A350" s="18"/>
      <c r="B350" s="185">
        <v>328</v>
      </c>
      <c r="C350" s="218">
        <v>403660</v>
      </c>
      <c r="D350" s="219">
        <v>183.68219876228613</v>
      </c>
      <c r="E350" s="188">
        <f t="shared" si="10"/>
        <v>2197.6</v>
      </c>
      <c r="F350" s="18"/>
    </row>
    <row r="351" spans="1:6" x14ac:dyDescent="0.2">
      <c r="A351" s="18"/>
      <c r="B351" s="185">
        <v>329</v>
      </c>
      <c r="C351" s="218">
        <v>404910</v>
      </c>
      <c r="D351" s="219">
        <v>183.69096765413056</v>
      </c>
      <c r="E351" s="188">
        <f t="shared" si="10"/>
        <v>2204.3000000000002</v>
      </c>
      <c r="F351" s="18"/>
    </row>
    <row r="352" spans="1:6" x14ac:dyDescent="0.2">
      <c r="A352" s="18"/>
      <c r="B352" s="185">
        <v>330</v>
      </c>
      <c r="C352" s="231">
        <v>406200</v>
      </c>
      <c r="D352" s="219">
        <v>183.71777476255087</v>
      </c>
      <c r="E352" s="188">
        <f t="shared" ref="E352:E415" si="11">B352*6.7</f>
        <v>2211</v>
      </c>
      <c r="F352" s="18"/>
    </row>
    <row r="353" spans="1:6" x14ac:dyDescent="0.2">
      <c r="A353" s="18"/>
      <c r="B353" s="185">
        <v>331</v>
      </c>
      <c r="C353" s="218">
        <v>407450</v>
      </c>
      <c r="D353" s="219">
        <v>183.72638318979119</v>
      </c>
      <c r="E353" s="188">
        <f t="shared" si="11"/>
        <v>2217.7000000000003</v>
      </c>
      <c r="F353" s="18"/>
    </row>
    <row r="354" spans="1:6" x14ac:dyDescent="0.2">
      <c r="A354" s="18"/>
      <c r="B354" s="185">
        <v>332</v>
      </c>
      <c r="C354" s="218">
        <v>408700</v>
      </c>
      <c r="D354" s="219">
        <v>183.73493975903614</v>
      </c>
      <c r="E354" s="188">
        <f t="shared" si="11"/>
        <v>2224.4</v>
      </c>
      <c r="F354" s="18"/>
    </row>
    <row r="355" spans="1:6" x14ac:dyDescent="0.2">
      <c r="A355" s="18"/>
      <c r="B355" s="185">
        <v>333</v>
      </c>
      <c r="C355" s="218">
        <v>409950</v>
      </c>
      <c r="D355" s="219">
        <v>183.74344493747481</v>
      </c>
      <c r="E355" s="188">
        <f t="shared" si="11"/>
        <v>2231.1</v>
      </c>
      <c r="F355" s="18"/>
    </row>
    <row r="356" spans="1:6" x14ac:dyDescent="0.2">
      <c r="A356" s="18"/>
      <c r="B356" s="185">
        <v>334</v>
      </c>
      <c r="C356" s="218">
        <v>411200</v>
      </c>
      <c r="D356" s="219">
        <v>183.75189918670122</v>
      </c>
      <c r="E356" s="188">
        <f t="shared" si="11"/>
        <v>2237.8000000000002</v>
      </c>
      <c r="F356" s="18"/>
    </row>
    <row r="357" spans="1:6" x14ac:dyDescent="0.2">
      <c r="A357" s="18"/>
      <c r="B357" s="185">
        <v>335</v>
      </c>
      <c r="C357" s="218">
        <v>412450</v>
      </c>
      <c r="D357" s="219">
        <v>183.76030296279794</v>
      </c>
      <c r="E357" s="188">
        <f t="shared" si="11"/>
        <v>2244.5</v>
      </c>
      <c r="F357" s="18"/>
    </row>
    <row r="358" spans="1:6" x14ac:dyDescent="0.2">
      <c r="A358" s="18"/>
      <c r="B358" s="185">
        <v>336</v>
      </c>
      <c r="C358" s="218">
        <v>413700</v>
      </c>
      <c r="D358" s="219">
        <v>183.76865671641789</v>
      </c>
      <c r="E358" s="188">
        <f t="shared" si="11"/>
        <v>2251.2000000000003</v>
      </c>
      <c r="F358" s="18"/>
    </row>
    <row r="359" spans="1:6" x14ac:dyDescent="0.2">
      <c r="A359" s="18"/>
      <c r="B359" s="185">
        <v>337</v>
      </c>
      <c r="C359" s="218">
        <v>414950</v>
      </c>
      <c r="D359" s="219">
        <v>183.77696089286505</v>
      </c>
      <c r="E359" s="188">
        <f t="shared" si="11"/>
        <v>2257.9</v>
      </c>
      <c r="F359" s="18"/>
    </row>
    <row r="360" spans="1:6" x14ac:dyDescent="0.2">
      <c r="A360" s="18"/>
      <c r="B360" s="185">
        <v>338</v>
      </c>
      <c r="C360" s="218">
        <v>416200</v>
      </c>
      <c r="D360" s="219">
        <v>183.78521593217346</v>
      </c>
      <c r="E360" s="188">
        <f t="shared" si="11"/>
        <v>2264.6</v>
      </c>
      <c r="F360" s="18"/>
    </row>
    <row r="361" spans="1:6" x14ac:dyDescent="0.2">
      <c r="A361" s="18"/>
      <c r="B361" s="185">
        <v>339</v>
      </c>
      <c r="C361" s="218">
        <v>417450</v>
      </c>
      <c r="D361" s="219">
        <v>183.79342226918504</v>
      </c>
      <c r="E361" s="188">
        <f t="shared" si="11"/>
        <v>2271.3000000000002</v>
      </c>
      <c r="F361" s="18"/>
    </row>
    <row r="362" spans="1:6" x14ac:dyDescent="0.2">
      <c r="A362" s="18"/>
      <c r="B362" s="185">
        <v>340</v>
      </c>
      <c r="C362" s="231">
        <v>418700</v>
      </c>
      <c r="D362" s="219">
        <v>183.80158033362599</v>
      </c>
      <c r="E362" s="188">
        <f t="shared" si="11"/>
        <v>2278</v>
      </c>
      <c r="F362" s="18"/>
    </row>
    <row r="363" spans="1:6" x14ac:dyDescent="0.2">
      <c r="A363" s="18"/>
      <c r="B363" s="185">
        <v>341</v>
      </c>
      <c r="C363" s="218">
        <v>419950</v>
      </c>
      <c r="D363" s="219">
        <v>183.80969055018161</v>
      </c>
      <c r="E363" s="188">
        <f t="shared" si="11"/>
        <v>2284.7000000000003</v>
      </c>
      <c r="F363" s="18"/>
    </row>
    <row r="364" spans="1:6" x14ac:dyDescent="0.2">
      <c r="A364" s="18"/>
      <c r="B364" s="185">
        <v>342</v>
      </c>
      <c r="C364" s="218">
        <v>421200</v>
      </c>
      <c r="D364" s="219">
        <v>183.8177533385703</v>
      </c>
      <c r="E364" s="188">
        <f t="shared" si="11"/>
        <v>2291.4</v>
      </c>
      <c r="F364" s="18"/>
    </row>
    <row r="365" spans="1:6" x14ac:dyDescent="0.2">
      <c r="A365" s="18"/>
      <c r="B365" s="185">
        <v>343</v>
      </c>
      <c r="C365" s="218">
        <v>422450</v>
      </c>
      <c r="D365" s="219">
        <v>183.82576911361559</v>
      </c>
      <c r="E365" s="188">
        <f t="shared" si="11"/>
        <v>2298.1</v>
      </c>
      <c r="F365" s="18"/>
    </row>
    <row r="366" spans="1:6" x14ac:dyDescent="0.2">
      <c r="A366" s="18"/>
      <c r="B366" s="185">
        <v>344</v>
      </c>
      <c r="C366" s="218">
        <v>423700</v>
      </c>
      <c r="D366" s="219">
        <v>183.83373828531759</v>
      </c>
      <c r="E366" s="188">
        <f t="shared" si="11"/>
        <v>2304.8000000000002</v>
      </c>
      <c r="F366" s="18"/>
    </row>
    <row r="367" spans="1:6" x14ac:dyDescent="0.2">
      <c r="A367" s="18"/>
      <c r="B367" s="185">
        <v>345</v>
      </c>
      <c r="C367" s="218">
        <v>424950</v>
      </c>
      <c r="D367" s="219">
        <v>183.84166125892278</v>
      </c>
      <c r="E367" s="188">
        <f t="shared" si="11"/>
        <v>2311.5</v>
      </c>
      <c r="F367" s="18"/>
    </row>
    <row r="368" spans="1:6" x14ac:dyDescent="0.2">
      <c r="A368" s="18"/>
      <c r="B368" s="185">
        <v>346</v>
      </c>
      <c r="C368" s="218">
        <v>426200</v>
      </c>
      <c r="D368" s="219">
        <v>183.84953843499264</v>
      </c>
      <c r="E368" s="188">
        <f t="shared" si="11"/>
        <v>2318.2000000000003</v>
      </c>
      <c r="F368" s="18"/>
    </row>
    <row r="369" spans="1:6" x14ac:dyDescent="0.2">
      <c r="A369" s="18"/>
      <c r="B369" s="185">
        <v>347</v>
      </c>
      <c r="C369" s="218">
        <v>427510</v>
      </c>
      <c r="D369" s="219">
        <v>183.88317777108693</v>
      </c>
      <c r="E369" s="188">
        <f t="shared" si="11"/>
        <v>2324.9</v>
      </c>
      <c r="F369" s="18"/>
    </row>
    <row r="370" spans="1:6" x14ac:dyDescent="0.2">
      <c r="A370" s="18"/>
      <c r="B370" s="185">
        <v>348</v>
      </c>
      <c r="C370" s="218">
        <v>428820</v>
      </c>
      <c r="D370" s="219">
        <v>183.9166237776634</v>
      </c>
      <c r="E370" s="188">
        <f t="shared" si="11"/>
        <v>2331.6</v>
      </c>
      <c r="F370" s="18"/>
    </row>
    <row r="371" spans="1:6" x14ac:dyDescent="0.2">
      <c r="A371" s="18"/>
      <c r="B371" s="185">
        <v>349</v>
      </c>
      <c r="C371" s="218">
        <v>430130</v>
      </c>
      <c r="D371" s="219">
        <v>183.94987811658041</v>
      </c>
      <c r="E371" s="188">
        <f t="shared" si="11"/>
        <v>2338.3000000000002</v>
      </c>
      <c r="F371" s="18"/>
    </row>
    <row r="372" spans="1:6" x14ac:dyDescent="0.2">
      <c r="A372" s="18"/>
      <c r="B372" s="185">
        <v>350</v>
      </c>
      <c r="C372" s="231">
        <v>431200</v>
      </c>
      <c r="D372" s="219">
        <v>183.88059701492537</v>
      </c>
      <c r="E372" s="188">
        <f t="shared" si="11"/>
        <v>2345</v>
      </c>
      <c r="F372" s="18"/>
    </row>
    <row r="373" spans="1:6" x14ac:dyDescent="0.2">
      <c r="A373" s="18"/>
      <c r="B373" s="185">
        <v>351</v>
      </c>
      <c r="C373" s="218">
        <v>432510</v>
      </c>
      <c r="D373" s="219">
        <v>183.9137645107794</v>
      </c>
      <c r="E373" s="188">
        <f t="shared" si="11"/>
        <v>2351.7000000000003</v>
      </c>
      <c r="F373" s="18"/>
    </row>
    <row r="374" spans="1:6" x14ac:dyDescent="0.2">
      <c r="A374" s="18"/>
      <c r="B374" s="185">
        <v>352</v>
      </c>
      <c r="C374" s="218">
        <v>433820</v>
      </c>
      <c r="D374" s="219">
        <v>183.94674355495249</v>
      </c>
      <c r="E374" s="188">
        <f t="shared" si="11"/>
        <v>2358.4</v>
      </c>
      <c r="F374" s="18"/>
    </row>
    <row r="375" spans="1:6" x14ac:dyDescent="0.2">
      <c r="A375" s="18"/>
      <c r="B375" s="185">
        <v>353</v>
      </c>
      <c r="C375" s="218">
        <v>435130</v>
      </c>
      <c r="D375" s="219">
        <v>183.97953574901697</v>
      </c>
      <c r="E375" s="188">
        <f t="shared" si="11"/>
        <v>2365.1</v>
      </c>
      <c r="F375" s="18"/>
    </row>
    <row r="376" spans="1:6" x14ac:dyDescent="0.2">
      <c r="A376" s="18"/>
      <c r="B376" s="185">
        <v>354</v>
      </c>
      <c r="C376" s="218">
        <v>436440</v>
      </c>
      <c r="D376" s="219">
        <v>184.01214267644826</v>
      </c>
      <c r="E376" s="188">
        <f t="shared" si="11"/>
        <v>2371.8000000000002</v>
      </c>
      <c r="F376" s="18"/>
    </row>
    <row r="377" spans="1:6" x14ac:dyDescent="0.2">
      <c r="A377" s="18"/>
      <c r="B377" s="185">
        <v>355</v>
      </c>
      <c r="C377" s="218">
        <v>437750</v>
      </c>
      <c r="D377" s="219">
        <v>184.04456590287995</v>
      </c>
      <c r="E377" s="188">
        <f t="shared" si="11"/>
        <v>2378.5</v>
      </c>
      <c r="F377" s="18"/>
    </row>
    <row r="378" spans="1:6" x14ac:dyDescent="0.2">
      <c r="A378" s="18"/>
      <c r="B378" s="185">
        <v>356</v>
      </c>
      <c r="C378" s="218">
        <v>439060</v>
      </c>
      <c r="D378" s="219">
        <v>184.07680697635416</v>
      </c>
      <c r="E378" s="188">
        <f t="shared" si="11"/>
        <v>2385.2000000000003</v>
      </c>
      <c r="F378" s="18"/>
    </row>
    <row r="379" spans="1:6" x14ac:dyDescent="0.2">
      <c r="A379" s="18"/>
      <c r="B379" s="185">
        <v>357</v>
      </c>
      <c r="C379" s="218">
        <v>440330</v>
      </c>
      <c r="D379" s="219">
        <v>184.09214432041472</v>
      </c>
      <c r="E379" s="188">
        <f t="shared" si="11"/>
        <v>2391.9</v>
      </c>
      <c r="F379" s="18"/>
    </row>
    <row r="380" spans="1:6" x14ac:dyDescent="0.2">
      <c r="A380" s="18"/>
      <c r="B380" s="185">
        <v>358</v>
      </c>
      <c r="C380" s="218">
        <v>441600</v>
      </c>
      <c r="D380" s="219">
        <v>184.10739598098891</v>
      </c>
      <c r="E380" s="188">
        <f t="shared" si="11"/>
        <v>2398.6</v>
      </c>
      <c r="F380" s="18"/>
    </row>
    <row r="381" spans="1:6" x14ac:dyDescent="0.2">
      <c r="A381" s="18"/>
      <c r="B381" s="185">
        <v>359</v>
      </c>
      <c r="C381" s="218">
        <v>442870</v>
      </c>
      <c r="D381" s="219">
        <v>184.1225626740947</v>
      </c>
      <c r="E381" s="188">
        <f t="shared" si="11"/>
        <v>2405.3000000000002</v>
      </c>
      <c r="F381" s="18"/>
    </row>
    <row r="382" spans="1:6" x14ac:dyDescent="0.2">
      <c r="A382" s="18"/>
      <c r="B382" s="185">
        <v>360</v>
      </c>
      <c r="C382" s="231">
        <v>444300</v>
      </c>
      <c r="D382" s="219">
        <v>184.20398009950247</v>
      </c>
      <c r="E382" s="188">
        <f t="shared" si="11"/>
        <v>2412</v>
      </c>
      <c r="F382" s="18"/>
    </row>
    <row r="383" spans="1:6" x14ac:dyDescent="0.2">
      <c r="A383" s="18"/>
      <c r="B383" s="185">
        <v>361</v>
      </c>
      <c r="C383" s="218">
        <v>445570</v>
      </c>
      <c r="D383" s="219">
        <v>184.21879522057301</v>
      </c>
      <c r="E383" s="188">
        <f t="shared" si="11"/>
        <v>2418.7000000000003</v>
      </c>
      <c r="F383" s="18"/>
    </row>
    <row r="384" spans="1:6" x14ac:dyDescent="0.2">
      <c r="A384" s="18"/>
      <c r="B384" s="185">
        <v>362</v>
      </c>
      <c r="C384" s="218">
        <v>446840</v>
      </c>
      <c r="D384" s="219">
        <v>184.23352849014594</v>
      </c>
      <c r="E384" s="188">
        <f t="shared" si="11"/>
        <v>2425.4</v>
      </c>
      <c r="F384" s="18"/>
    </row>
    <row r="385" spans="1:6" x14ac:dyDescent="0.2">
      <c r="A385" s="18"/>
      <c r="B385" s="185">
        <v>363</v>
      </c>
      <c r="C385" s="218">
        <v>448110</v>
      </c>
      <c r="D385" s="219">
        <v>184.24818058467991</v>
      </c>
      <c r="E385" s="188">
        <f t="shared" si="11"/>
        <v>2432.1</v>
      </c>
      <c r="F385" s="18"/>
    </row>
    <row r="386" spans="1:6" x14ac:dyDescent="0.2">
      <c r="A386" s="18"/>
      <c r="B386" s="185">
        <v>364</v>
      </c>
      <c r="C386" s="218">
        <v>449380</v>
      </c>
      <c r="D386" s="219">
        <v>184.26275217319991</v>
      </c>
      <c r="E386" s="188">
        <f t="shared" si="11"/>
        <v>2438.8000000000002</v>
      </c>
      <c r="F386" s="18"/>
    </row>
    <row r="387" spans="1:6" x14ac:dyDescent="0.2">
      <c r="A387" s="18"/>
      <c r="B387" s="185">
        <v>365</v>
      </c>
      <c r="C387" s="218">
        <v>450650</v>
      </c>
      <c r="D387" s="219">
        <v>184.27724391739932</v>
      </c>
      <c r="E387" s="188">
        <f t="shared" si="11"/>
        <v>2445.5</v>
      </c>
      <c r="F387" s="18"/>
    </row>
    <row r="388" spans="1:6" x14ac:dyDescent="0.2">
      <c r="A388" s="18"/>
      <c r="B388" s="185">
        <v>366</v>
      </c>
      <c r="C388" s="218">
        <v>451920</v>
      </c>
      <c r="D388" s="219">
        <v>184.29165647173963</v>
      </c>
      <c r="E388" s="188">
        <f t="shared" si="11"/>
        <v>2452.2000000000003</v>
      </c>
      <c r="F388" s="18"/>
    </row>
    <row r="389" spans="1:6" x14ac:dyDescent="0.2">
      <c r="A389" s="18"/>
      <c r="B389" s="185">
        <v>367</v>
      </c>
      <c r="C389" s="218">
        <v>453220</v>
      </c>
      <c r="D389" s="219">
        <v>184.31819106104354</v>
      </c>
      <c r="E389" s="188">
        <f t="shared" si="11"/>
        <v>2458.9</v>
      </c>
      <c r="F389" s="18"/>
    </row>
    <row r="390" spans="1:6" x14ac:dyDescent="0.2">
      <c r="A390" s="18"/>
      <c r="B390" s="185">
        <v>368</v>
      </c>
      <c r="C390" s="218">
        <v>454520</v>
      </c>
      <c r="D390" s="219">
        <v>184.34458144062299</v>
      </c>
      <c r="E390" s="188">
        <f t="shared" si="11"/>
        <v>2465.6</v>
      </c>
      <c r="F390" s="18"/>
    </row>
    <row r="391" spans="1:6" x14ac:dyDescent="0.2">
      <c r="A391" s="18"/>
      <c r="B391" s="185">
        <v>369</v>
      </c>
      <c r="C391" s="218">
        <v>455820</v>
      </c>
      <c r="D391" s="219">
        <v>184.37082878291469</v>
      </c>
      <c r="E391" s="188">
        <f t="shared" si="11"/>
        <v>2472.3000000000002</v>
      </c>
      <c r="F391" s="18"/>
    </row>
    <row r="392" spans="1:6" x14ac:dyDescent="0.2">
      <c r="A392" s="18"/>
      <c r="B392" s="185">
        <v>370</v>
      </c>
      <c r="C392" s="231">
        <v>457000</v>
      </c>
      <c r="D392" s="219">
        <v>184.34852763210972</v>
      </c>
      <c r="E392" s="188">
        <f t="shared" si="11"/>
        <v>2479</v>
      </c>
      <c r="F392" s="18"/>
    </row>
    <row r="393" spans="1:6" x14ac:dyDescent="0.2">
      <c r="A393" s="18"/>
      <c r="B393" s="185">
        <v>371</v>
      </c>
      <c r="C393" s="218">
        <v>458300</v>
      </c>
      <c r="D393" s="219">
        <v>184.37462284265999</v>
      </c>
      <c r="E393" s="188">
        <f t="shared" si="11"/>
        <v>2485.7000000000003</v>
      </c>
      <c r="F393" s="18"/>
    </row>
    <row r="394" spans="1:6" x14ac:dyDescent="0.2">
      <c r="A394" s="18"/>
      <c r="B394" s="185">
        <v>372</v>
      </c>
      <c r="C394" s="218">
        <v>459600</v>
      </c>
      <c r="D394" s="219">
        <v>184.40057775637939</v>
      </c>
      <c r="E394" s="188">
        <f t="shared" si="11"/>
        <v>2492.4</v>
      </c>
      <c r="F394" s="18"/>
    </row>
    <row r="395" spans="1:6" x14ac:dyDescent="0.2">
      <c r="A395" s="18"/>
      <c r="B395" s="185">
        <v>373</v>
      </c>
      <c r="C395" s="218">
        <v>460900</v>
      </c>
      <c r="D395" s="219">
        <v>184.42639350166061</v>
      </c>
      <c r="E395" s="188">
        <f t="shared" si="11"/>
        <v>2499.1</v>
      </c>
      <c r="F395" s="18"/>
    </row>
    <row r="396" spans="1:6" x14ac:dyDescent="0.2">
      <c r="A396" s="18"/>
      <c r="B396" s="185">
        <v>374</v>
      </c>
      <c r="C396" s="218">
        <v>462200</v>
      </c>
      <c r="D396" s="219">
        <v>184.45207119482799</v>
      </c>
      <c r="E396" s="188">
        <f t="shared" si="11"/>
        <v>2505.8000000000002</v>
      </c>
      <c r="F396" s="18"/>
    </row>
    <row r="397" spans="1:6" x14ac:dyDescent="0.2">
      <c r="A397" s="18"/>
      <c r="B397" s="185">
        <v>375</v>
      </c>
      <c r="C397" s="218">
        <v>463500</v>
      </c>
      <c r="D397" s="219">
        <v>184.47761194029852</v>
      </c>
      <c r="E397" s="188">
        <f t="shared" si="11"/>
        <v>2512.5</v>
      </c>
      <c r="F397" s="18"/>
    </row>
    <row r="398" spans="1:6" x14ac:dyDescent="0.2">
      <c r="A398" s="18"/>
      <c r="B398" s="185">
        <v>376</v>
      </c>
      <c r="C398" s="218">
        <v>464800</v>
      </c>
      <c r="D398" s="219">
        <v>184.50301683073991</v>
      </c>
      <c r="E398" s="188">
        <f t="shared" si="11"/>
        <v>2519.2000000000003</v>
      </c>
      <c r="F398" s="18"/>
    </row>
    <row r="399" spans="1:6" x14ac:dyDescent="0.2">
      <c r="A399" s="18"/>
      <c r="B399" s="185">
        <v>377</v>
      </c>
      <c r="C399" s="218">
        <v>466066.66666666669</v>
      </c>
      <c r="D399" s="219">
        <v>184.51509033083917</v>
      </c>
      <c r="E399" s="188">
        <f t="shared" si="11"/>
        <v>2525.9</v>
      </c>
      <c r="F399" s="18"/>
    </row>
    <row r="400" spans="1:6" x14ac:dyDescent="0.2">
      <c r="A400" s="18"/>
      <c r="B400" s="185">
        <v>378</v>
      </c>
      <c r="C400" s="218">
        <v>467333.33333333337</v>
      </c>
      <c r="D400" s="219">
        <v>184.52709994998554</v>
      </c>
      <c r="E400" s="188">
        <f t="shared" si="11"/>
        <v>2532.6</v>
      </c>
      <c r="F400" s="18"/>
    </row>
    <row r="401" spans="1:6" x14ac:dyDescent="0.2">
      <c r="A401" s="18"/>
      <c r="B401" s="185">
        <v>379</v>
      </c>
      <c r="C401" s="218">
        <v>468600.00000000006</v>
      </c>
      <c r="D401" s="219">
        <v>184.53904619383295</v>
      </c>
      <c r="E401" s="188">
        <f t="shared" si="11"/>
        <v>2539.3000000000002</v>
      </c>
      <c r="F401" s="18"/>
    </row>
    <row r="402" spans="1:6" x14ac:dyDescent="0.2">
      <c r="A402" s="18"/>
      <c r="B402" s="185">
        <v>380</v>
      </c>
      <c r="C402" s="186">
        <v>470000</v>
      </c>
      <c r="D402" s="187">
        <v>184.60329929300863</v>
      </c>
      <c r="E402" s="188">
        <f t="shared" si="11"/>
        <v>2546</v>
      </c>
      <c r="F402" s="18"/>
    </row>
    <row r="403" spans="1:6" x14ac:dyDescent="0.2">
      <c r="A403" s="18"/>
      <c r="B403" s="185">
        <v>381</v>
      </c>
      <c r="C403" s="218">
        <v>471266.66666666669</v>
      </c>
      <c r="D403" s="250">
        <v>184.61498282863894</v>
      </c>
      <c r="E403" s="188">
        <f t="shared" si="11"/>
        <v>2552.7000000000003</v>
      </c>
      <c r="F403" s="18"/>
    </row>
    <row r="404" spans="1:6" x14ac:dyDescent="0.2">
      <c r="A404" s="18"/>
      <c r="B404" s="185">
        <v>382</v>
      </c>
      <c r="C404" s="218">
        <v>472533.33333333337</v>
      </c>
      <c r="D404" s="250">
        <v>184.62660519392566</v>
      </c>
      <c r="E404" s="188">
        <f t="shared" si="11"/>
        <v>2559.4</v>
      </c>
      <c r="F404" s="18"/>
    </row>
    <row r="405" spans="1:6" x14ac:dyDescent="0.2">
      <c r="A405" s="18"/>
      <c r="B405" s="185">
        <v>383</v>
      </c>
      <c r="C405" s="218">
        <v>473800.00000000006</v>
      </c>
      <c r="D405" s="219">
        <v>184.63816686800985</v>
      </c>
      <c r="E405" s="188">
        <f t="shared" si="11"/>
        <v>2566.1</v>
      </c>
      <c r="F405" s="18"/>
    </row>
    <row r="406" spans="1:6" x14ac:dyDescent="0.2">
      <c r="A406" s="18"/>
      <c r="B406" s="185">
        <v>384</v>
      </c>
      <c r="C406" s="218">
        <v>475066.66666666674</v>
      </c>
      <c r="D406" s="219">
        <v>184.64966832504149</v>
      </c>
      <c r="E406" s="188">
        <f t="shared" si="11"/>
        <v>2572.8000000000002</v>
      </c>
      <c r="F406" s="18"/>
    </row>
    <row r="407" spans="1:6" x14ac:dyDescent="0.2">
      <c r="A407" s="18"/>
      <c r="B407" s="185">
        <v>385</v>
      </c>
      <c r="C407" s="218">
        <v>476333.33333333343</v>
      </c>
      <c r="D407" s="219">
        <v>184.66111003424439</v>
      </c>
      <c r="E407" s="188">
        <f t="shared" si="11"/>
        <v>2579.5</v>
      </c>
      <c r="F407" s="18"/>
    </row>
    <row r="408" spans="1:6" x14ac:dyDescent="0.2">
      <c r="A408" s="18"/>
      <c r="B408" s="185">
        <v>386</v>
      </c>
      <c r="C408" s="186">
        <v>477600</v>
      </c>
      <c r="D408" s="187">
        <v>184.67249245997988</v>
      </c>
      <c r="E408" s="188">
        <f t="shared" si="11"/>
        <v>2586.2000000000003</v>
      </c>
      <c r="F408" s="18"/>
    </row>
    <row r="409" spans="1:6" x14ac:dyDescent="0.2">
      <c r="A409" s="18"/>
      <c r="B409" s="185">
        <v>387</v>
      </c>
      <c r="C409" s="218">
        <v>478935.71428571426</v>
      </c>
      <c r="D409" s="219">
        <v>184.7104455573737</v>
      </c>
      <c r="E409" s="188">
        <f t="shared" si="11"/>
        <v>2592.9</v>
      </c>
      <c r="F409" s="18"/>
    </row>
    <row r="410" spans="1:6" x14ac:dyDescent="0.2">
      <c r="A410" s="18"/>
      <c r="B410" s="185">
        <v>388</v>
      </c>
      <c r="C410" s="218">
        <v>480271.42857142852</v>
      </c>
      <c r="D410" s="219">
        <v>184.74820302024486</v>
      </c>
      <c r="E410" s="188">
        <f t="shared" si="11"/>
        <v>2599.6</v>
      </c>
      <c r="F410" s="18"/>
    </row>
    <row r="411" spans="1:6" x14ac:dyDescent="0.2">
      <c r="A411" s="18"/>
      <c r="B411" s="185">
        <v>389</v>
      </c>
      <c r="C411" s="218">
        <v>481607.14285714278</v>
      </c>
      <c r="D411" s="219">
        <v>184.78576635734288</v>
      </c>
      <c r="E411" s="188">
        <f t="shared" si="11"/>
        <v>2606.3000000000002</v>
      </c>
      <c r="F411" s="18"/>
    </row>
    <row r="412" spans="1:6" x14ac:dyDescent="0.2">
      <c r="A412" s="18"/>
      <c r="B412" s="185">
        <v>390</v>
      </c>
      <c r="C412" s="218">
        <v>482942.85714285704</v>
      </c>
      <c r="D412" s="219">
        <v>184.82313706194299</v>
      </c>
      <c r="E412" s="188">
        <f t="shared" si="11"/>
        <v>2613</v>
      </c>
      <c r="F412" s="18"/>
    </row>
    <row r="413" spans="1:6" x14ac:dyDescent="0.2">
      <c r="A413" s="18"/>
      <c r="B413" s="185">
        <v>391</v>
      </c>
      <c r="C413" s="218">
        <v>484278.5714285713</v>
      </c>
      <c r="D413" s="219">
        <v>184.86031661204385</v>
      </c>
      <c r="E413" s="188">
        <f t="shared" si="11"/>
        <v>2619.7000000000003</v>
      </c>
      <c r="F413" s="18"/>
    </row>
    <row r="414" spans="1:6" x14ac:dyDescent="0.2">
      <c r="A414" s="18"/>
      <c r="B414" s="185">
        <v>392</v>
      </c>
      <c r="C414" s="218">
        <v>485614.28571428556</v>
      </c>
      <c r="D414" s="219">
        <v>184.89730647056257</v>
      </c>
      <c r="E414" s="188">
        <f t="shared" si="11"/>
        <v>2626.4</v>
      </c>
      <c r="F414" s="18"/>
    </row>
    <row r="415" spans="1:6" x14ac:dyDescent="0.2">
      <c r="A415" s="18"/>
      <c r="B415" s="185">
        <v>393</v>
      </c>
      <c r="C415" s="218">
        <v>486949.99999999983</v>
      </c>
      <c r="D415" s="219">
        <v>184.9341080855265</v>
      </c>
      <c r="E415" s="188">
        <f t="shared" si="11"/>
        <v>2633.1</v>
      </c>
      <c r="F415" s="18"/>
    </row>
    <row r="416" spans="1:6" x14ac:dyDescent="0.2">
      <c r="A416" s="18"/>
      <c r="B416" s="185">
        <v>394</v>
      </c>
      <c r="C416" s="218">
        <v>488285.71428571409</v>
      </c>
      <c r="D416" s="219">
        <v>184.97072289026215</v>
      </c>
      <c r="E416" s="188">
        <f t="shared" ref="E416:E479" si="12">B416*6.7</f>
        <v>2639.8</v>
      </c>
      <c r="F416" s="18"/>
    </row>
    <row r="417" spans="1:6" x14ac:dyDescent="0.2">
      <c r="A417" s="18"/>
      <c r="B417" s="185">
        <v>395</v>
      </c>
      <c r="C417" s="218">
        <v>489621.42857142835</v>
      </c>
      <c r="D417" s="219">
        <v>185.00715230358148</v>
      </c>
      <c r="E417" s="188">
        <f t="shared" si="12"/>
        <v>2646.5</v>
      </c>
      <c r="F417" s="18"/>
    </row>
    <row r="418" spans="1:6" x14ac:dyDescent="0.2">
      <c r="A418" s="18"/>
      <c r="B418" s="185">
        <v>396</v>
      </c>
      <c r="C418" s="249">
        <v>490957.14285714261</v>
      </c>
      <c r="D418" s="219">
        <v>185.04339772996479</v>
      </c>
      <c r="E418" s="188">
        <f t="shared" si="12"/>
        <v>2653.2000000000003</v>
      </c>
      <c r="F418" s="18"/>
    </row>
    <row r="419" spans="1:6" x14ac:dyDescent="0.2">
      <c r="A419" s="18"/>
      <c r="B419" s="185">
        <v>397</v>
      </c>
      <c r="C419" s="249">
        <v>492292.85714285687</v>
      </c>
      <c r="D419" s="219">
        <v>185.07946055974168</v>
      </c>
      <c r="E419" s="188">
        <f t="shared" si="12"/>
        <v>2659.9</v>
      </c>
      <c r="F419" s="18"/>
    </row>
    <row r="420" spans="1:6" x14ac:dyDescent="0.2">
      <c r="A420" s="18"/>
      <c r="B420" s="185">
        <v>398</v>
      </c>
      <c r="C420" s="249">
        <v>493628.57142857113</v>
      </c>
      <c r="D420" s="219">
        <v>185.11534216926842</v>
      </c>
      <c r="E420" s="188">
        <f t="shared" si="12"/>
        <v>2666.6</v>
      </c>
      <c r="F420" s="18"/>
    </row>
    <row r="421" spans="1:6" x14ac:dyDescent="0.2">
      <c r="A421" s="18"/>
      <c r="B421" s="185">
        <v>399</v>
      </c>
      <c r="C421" s="249">
        <v>494968.57142857113</v>
      </c>
      <c r="D421" s="219">
        <v>185.15264707611234</v>
      </c>
      <c r="E421" s="188">
        <f t="shared" si="12"/>
        <v>2673.3</v>
      </c>
      <c r="F421" s="18"/>
    </row>
    <row r="422" spans="1:6" x14ac:dyDescent="0.2">
      <c r="A422" s="18"/>
      <c r="B422" s="185">
        <v>400</v>
      </c>
      <c r="C422" s="186">
        <v>496300</v>
      </c>
      <c r="D422" s="187">
        <v>185.18656716417911</v>
      </c>
      <c r="E422" s="188">
        <f t="shared" si="12"/>
        <v>2680</v>
      </c>
      <c r="F422" s="18"/>
    </row>
    <row r="423" spans="1:6" x14ac:dyDescent="0.2">
      <c r="A423" s="18"/>
      <c r="B423" s="185">
        <v>401</v>
      </c>
      <c r="C423" s="218">
        <v>497640</v>
      </c>
      <c r="D423" s="219">
        <v>185.22350839319608</v>
      </c>
      <c r="E423" s="188">
        <f t="shared" si="12"/>
        <v>2686.7000000000003</v>
      </c>
      <c r="F423" s="18"/>
    </row>
    <row r="424" spans="1:6" x14ac:dyDescent="0.2">
      <c r="A424" s="18"/>
      <c r="B424" s="185">
        <v>402</v>
      </c>
      <c r="C424" s="218">
        <v>498980</v>
      </c>
      <c r="D424" s="219">
        <v>185.26026583500408</v>
      </c>
      <c r="E424" s="188">
        <f t="shared" si="12"/>
        <v>2693.4</v>
      </c>
      <c r="F424" s="18"/>
    </row>
    <row r="425" spans="1:6" x14ac:dyDescent="0.2">
      <c r="A425" s="18"/>
      <c r="B425" s="185">
        <v>403</v>
      </c>
      <c r="C425" s="218">
        <v>500320</v>
      </c>
      <c r="D425" s="219">
        <v>185.29684085774602</v>
      </c>
      <c r="E425" s="188">
        <f t="shared" si="12"/>
        <v>2700.1</v>
      </c>
      <c r="F425" s="18"/>
    </row>
    <row r="426" spans="1:6" x14ac:dyDescent="0.2">
      <c r="A426" s="18"/>
      <c r="B426" s="185">
        <v>404</v>
      </c>
      <c r="C426" s="218">
        <v>501660</v>
      </c>
      <c r="D426" s="219">
        <v>185.33323481601892</v>
      </c>
      <c r="E426" s="188">
        <f t="shared" si="12"/>
        <v>2706.8</v>
      </c>
      <c r="F426" s="18"/>
    </row>
    <row r="427" spans="1:6" x14ac:dyDescent="0.2">
      <c r="A427" s="18"/>
      <c r="B427" s="185">
        <v>405</v>
      </c>
      <c r="C427" s="218">
        <v>503000</v>
      </c>
      <c r="D427" s="219">
        <v>185.3694490510411</v>
      </c>
      <c r="E427" s="188">
        <f t="shared" si="12"/>
        <v>2713.5</v>
      </c>
      <c r="F427" s="18"/>
    </row>
    <row r="428" spans="1:6" x14ac:dyDescent="0.2">
      <c r="A428" s="18"/>
      <c r="B428" s="185">
        <v>406</v>
      </c>
      <c r="C428" s="218">
        <v>504340</v>
      </c>
      <c r="D428" s="219">
        <v>185.40548489081684</v>
      </c>
      <c r="E428" s="188">
        <f t="shared" si="12"/>
        <v>2720.2000000000003</v>
      </c>
      <c r="F428" s="18"/>
    </row>
    <row r="429" spans="1:6" x14ac:dyDescent="0.2">
      <c r="A429" s="18"/>
      <c r="B429" s="185">
        <v>407</v>
      </c>
      <c r="C429" s="218">
        <v>505680</v>
      </c>
      <c r="D429" s="219">
        <v>185.44134365029888</v>
      </c>
      <c r="E429" s="188">
        <f t="shared" si="12"/>
        <v>2726.9</v>
      </c>
      <c r="F429" s="18"/>
    </row>
    <row r="430" spans="1:6" x14ac:dyDescent="0.2">
      <c r="A430" s="18"/>
      <c r="B430" s="185">
        <v>408</v>
      </c>
      <c r="C430" s="218">
        <v>507020</v>
      </c>
      <c r="D430" s="219">
        <v>185.47702663154814</v>
      </c>
      <c r="E430" s="188">
        <f t="shared" si="12"/>
        <v>2733.6</v>
      </c>
      <c r="F430" s="18"/>
    </row>
    <row r="431" spans="1:6" x14ac:dyDescent="0.2">
      <c r="A431" s="18"/>
      <c r="B431" s="185">
        <v>409</v>
      </c>
      <c r="C431" s="218">
        <v>508360</v>
      </c>
      <c r="D431" s="219">
        <v>185.51253512389152</v>
      </c>
      <c r="E431" s="188">
        <f t="shared" si="12"/>
        <v>2740.3</v>
      </c>
      <c r="F431" s="18"/>
    </row>
    <row r="432" spans="1:6" x14ac:dyDescent="0.2">
      <c r="A432" s="18"/>
      <c r="B432" s="185">
        <v>410</v>
      </c>
      <c r="C432" s="186">
        <v>509700</v>
      </c>
      <c r="D432" s="187">
        <v>185.54787040407717</v>
      </c>
      <c r="E432" s="188">
        <f t="shared" si="12"/>
        <v>2747</v>
      </c>
      <c r="F432" s="18"/>
    </row>
    <row r="433" spans="1:6" x14ac:dyDescent="0.2">
      <c r="A433" s="18"/>
      <c r="B433" s="185">
        <v>411</v>
      </c>
      <c r="C433" s="218">
        <v>511040</v>
      </c>
      <c r="D433" s="219">
        <v>185.58303373642732</v>
      </c>
      <c r="E433" s="188">
        <f t="shared" si="12"/>
        <v>2753.7000000000003</v>
      </c>
      <c r="F433" s="18"/>
    </row>
    <row r="434" spans="1:6" x14ac:dyDescent="0.2">
      <c r="A434" s="18"/>
      <c r="B434" s="185">
        <v>412</v>
      </c>
      <c r="C434" s="218">
        <v>512380</v>
      </c>
      <c r="D434" s="219">
        <v>185.61802637298942</v>
      </c>
      <c r="E434" s="188">
        <f t="shared" si="12"/>
        <v>2760.4</v>
      </c>
      <c r="F434" s="18"/>
    </row>
    <row r="435" spans="1:6" x14ac:dyDescent="0.2">
      <c r="A435" s="18"/>
      <c r="B435" s="185">
        <v>413</v>
      </c>
      <c r="C435" s="218">
        <v>513720</v>
      </c>
      <c r="D435" s="219">
        <v>185.65284955368438</v>
      </c>
      <c r="E435" s="188">
        <f t="shared" si="12"/>
        <v>2767.1</v>
      </c>
      <c r="F435" s="18"/>
    </row>
    <row r="436" spans="1:6" x14ac:dyDescent="0.2">
      <c r="A436" s="18"/>
      <c r="B436" s="185">
        <v>414</v>
      </c>
      <c r="C436" s="218">
        <v>515060</v>
      </c>
      <c r="D436" s="219">
        <v>185.68750450645322</v>
      </c>
      <c r="E436" s="188">
        <f t="shared" si="12"/>
        <v>2773.8</v>
      </c>
      <c r="F436" s="18"/>
    </row>
    <row r="437" spans="1:6" x14ac:dyDescent="0.2">
      <c r="A437" s="18"/>
      <c r="B437" s="185">
        <v>415</v>
      </c>
      <c r="C437" s="218">
        <v>516400</v>
      </c>
      <c r="D437" s="219">
        <v>185.72199244740153</v>
      </c>
      <c r="E437" s="188">
        <f t="shared" si="12"/>
        <v>2780.5</v>
      </c>
      <c r="F437" s="18"/>
    </row>
    <row r="438" spans="1:6" x14ac:dyDescent="0.2">
      <c r="A438" s="18"/>
      <c r="B438" s="185">
        <v>416</v>
      </c>
      <c r="C438" s="218">
        <v>517740</v>
      </c>
      <c r="D438" s="219">
        <v>185.75631458094142</v>
      </c>
      <c r="E438" s="188">
        <f t="shared" si="12"/>
        <v>2787.2000000000003</v>
      </c>
      <c r="F438" s="18"/>
    </row>
    <row r="439" spans="1:6" x14ac:dyDescent="0.2">
      <c r="A439" s="18"/>
      <c r="B439" s="185">
        <v>417</v>
      </c>
      <c r="C439" s="218">
        <v>519080</v>
      </c>
      <c r="D439" s="219">
        <v>185.79047209993197</v>
      </c>
      <c r="E439" s="188">
        <f t="shared" si="12"/>
        <v>2793.9</v>
      </c>
      <c r="F439" s="18"/>
    </row>
    <row r="440" spans="1:6" x14ac:dyDescent="0.2">
      <c r="A440" s="18"/>
      <c r="B440" s="185">
        <v>418</v>
      </c>
      <c r="C440" s="218">
        <v>520420</v>
      </c>
      <c r="D440" s="219">
        <v>185.82446618581733</v>
      </c>
      <c r="E440" s="188">
        <f t="shared" si="12"/>
        <v>2800.6</v>
      </c>
      <c r="F440" s="18"/>
    </row>
    <row r="441" spans="1:6" x14ac:dyDescent="0.2">
      <c r="A441" s="18"/>
      <c r="B441" s="185">
        <v>419</v>
      </c>
      <c r="C441" s="218">
        <v>521760</v>
      </c>
      <c r="D441" s="219">
        <v>185.85829800876286</v>
      </c>
      <c r="E441" s="188">
        <f t="shared" si="12"/>
        <v>2807.3</v>
      </c>
      <c r="F441" s="18"/>
    </row>
    <row r="442" spans="1:6" x14ac:dyDescent="0.2">
      <c r="A442" s="18"/>
      <c r="B442" s="185">
        <v>420</v>
      </c>
      <c r="C442" s="186">
        <v>523100</v>
      </c>
      <c r="D442" s="187">
        <v>185.89196872778962</v>
      </c>
      <c r="E442" s="188">
        <f t="shared" si="12"/>
        <v>2814</v>
      </c>
      <c r="F442" s="18"/>
    </row>
    <row r="443" spans="1:6" x14ac:dyDescent="0.2">
      <c r="A443" s="18"/>
      <c r="B443" s="185">
        <v>421</v>
      </c>
      <c r="C443" s="218">
        <v>524450</v>
      </c>
      <c r="D443" s="219">
        <v>185.92902471017831</v>
      </c>
      <c r="E443" s="188">
        <f t="shared" si="12"/>
        <v>2820.7000000000003</v>
      </c>
      <c r="F443" s="18"/>
    </row>
    <row r="444" spans="1:6" x14ac:dyDescent="0.2">
      <c r="A444" s="18"/>
      <c r="B444" s="185">
        <v>422</v>
      </c>
      <c r="C444" s="218">
        <v>525800</v>
      </c>
      <c r="D444" s="219">
        <v>185.96590507179741</v>
      </c>
      <c r="E444" s="188">
        <f t="shared" si="12"/>
        <v>2827.4</v>
      </c>
      <c r="F444" s="18"/>
    </row>
    <row r="445" spans="1:6" x14ac:dyDescent="0.2">
      <c r="A445" s="18"/>
      <c r="B445" s="185">
        <v>423</v>
      </c>
      <c r="C445" s="218">
        <v>527150</v>
      </c>
      <c r="D445" s="219">
        <v>186.00261105818427</v>
      </c>
      <c r="E445" s="188">
        <f t="shared" si="12"/>
        <v>2834.1</v>
      </c>
      <c r="F445" s="18"/>
    </row>
    <row r="446" spans="1:6" x14ac:dyDescent="0.2">
      <c r="A446" s="18"/>
      <c r="B446" s="185">
        <v>424</v>
      </c>
      <c r="C446" s="218">
        <v>528500</v>
      </c>
      <c r="D446" s="219">
        <v>186.03914390312588</v>
      </c>
      <c r="E446" s="188">
        <f t="shared" si="12"/>
        <v>2840.8</v>
      </c>
      <c r="F446" s="18"/>
    </row>
    <row r="447" spans="1:6" x14ac:dyDescent="0.2">
      <c r="A447" s="18"/>
      <c r="B447" s="185">
        <v>425</v>
      </c>
      <c r="C447" s="218">
        <v>529850</v>
      </c>
      <c r="D447" s="219">
        <v>186.07550482879719</v>
      </c>
      <c r="E447" s="188">
        <f t="shared" si="12"/>
        <v>2847.5</v>
      </c>
      <c r="F447" s="18"/>
    </row>
    <row r="448" spans="1:6" x14ac:dyDescent="0.2">
      <c r="A448" s="18"/>
      <c r="B448" s="185">
        <v>426</v>
      </c>
      <c r="C448" s="218">
        <v>531200</v>
      </c>
      <c r="D448" s="219">
        <v>186.11169504589725</v>
      </c>
      <c r="E448" s="188">
        <f t="shared" si="12"/>
        <v>2854.2000000000003</v>
      </c>
      <c r="F448" s="18"/>
    </row>
    <row r="449" spans="1:6" x14ac:dyDescent="0.2">
      <c r="A449" s="18"/>
      <c r="B449" s="185">
        <v>427</v>
      </c>
      <c r="C449" s="218">
        <v>532550</v>
      </c>
      <c r="D449" s="219">
        <v>186.14771575378376</v>
      </c>
      <c r="E449" s="188">
        <f t="shared" si="12"/>
        <v>2860.9</v>
      </c>
      <c r="F449" s="18"/>
    </row>
    <row r="450" spans="1:6" x14ac:dyDescent="0.2">
      <c r="A450" s="18"/>
      <c r="B450" s="185">
        <v>428</v>
      </c>
      <c r="C450" s="218">
        <v>533900</v>
      </c>
      <c r="D450" s="219">
        <v>186.18356814060539</v>
      </c>
      <c r="E450" s="188">
        <f t="shared" si="12"/>
        <v>2867.6</v>
      </c>
      <c r="F450" s="18"/>
    </row>
    <row r="451" spans="1:6" x14ac:dyDescent="0.2">
      <c r="A451" s="18"/>
      <c r="B451" s="185">
        <v>429</v>
      </c>
      <c r="C451" s="218">
        <v>535250</v>
      </c>
      <c r="D451" s="219">
        <v>186.21925338343249</v>
      </c>
      <c r="E451" s="188">
        <f t="shared" si="12"/>
        <v>2874.3</v>
      </c>
      <c r="F451" s="18"/>
    </row>
    <row r="452" spans="1:6" x14ac:dyDescent="0.2">
      <c r="A452" s="18"/>
      <c r="B452" s="185">
        <v>430</v>
      </c>
      <c r="C452" s="186">
        <v>536600</v>
      </c>
      <c r="D452" s="187">
        <v>186.25477264838597</v>
      </c>
      <c r="E452" s="188">
        <f t="shared" si="12"/>
        <v>2881</v>
      </c>
      <c r="F452" s="18"/>
    </row>
    <row r="453" spans="1:6" x14ac:dyDescent="0.2">
      <c r="A453" s="18"/>
      <c r="B453" s="185">
        <v>431</v>
      </c>
      <c r="C453" s="218">
        <v>537950</v>
      </c>
      <c r="D453" s="219">
        <v>186.29012709076426</v>
      </c>
      <c r="E453" s="188">
        <f t="shared" si="12"/>
        <v>2887.7000000000003</v>
      </c>
      <c r="F453" s="18"/>
    </row>
    <row r="454" spans="1:6" x14ac:dyDescent="0.2">
      <c r="A454" s="18"/>
      <c r="B454" s="185">
        <v>432</v>
      </c>
      <c r="C454" s="218">
        <v>539300</v>
      </c>
      <c r="D454" s="219">
        <v>186.32531785516861</v>
      </c>
      <c r="E454" s="188">
        <f t="shared" si="12"/>
        <v>2894.4</v>
      </c>
      <c r="F454" s="18"/>
    </row>
    <row r="455" spans="1:6" x14ac:dyDescent="0.2">
      <c r="A455" s="18"/>
      <c r="B455" s="185">
        <v>433</v>
      </c>
      <c r="C455" s="218">
        <v>540650</v>
      </c>
      <c r="D455" s="219">
        <v>186.3603460756265</v>
      </c>
      <c r="E455" s="188">
        <f t="shared" si="12"/>
        <v>2901.1</v>
      </c>
      <c r="F455" s="18"/>
    </row>
    <row r="456" spans="1:6" x14ac:dyDescent="0.2">
      <c r="A456" s="18"/>
      <c r="B456" s="185">
        <v>434</v>
      </c>
      <c r="C456" s="218">
        <v>542000</v>
      </c>
      <c r="D456" s="219">
        <v>186.39521287571358</v>
      </c>
      <c r="E456" s="188">
        <f t="shared" si="12"/>
        <v>2907.8</v>
      </c>
      <c r="F456" s="18"/>
    </row>
    <row r="457" spans="1:6" x14ac:dyDescent="0.2">
      <c r="A457" s="18"/>
      <c r="B457" s="185">
        <v>435</v>
      </c>
      <c r="C457" s="218">
        <v>543350</v>
      </c>
      <c r="D457" s="219">
        <v>186.42991936867386</v>
      </c>
      <c r="E457" s="188">
        <f t="shared" si="12"/>
        <v>2914.5</v>
      </c>
      <c r="F457" s="18"/>
    </row>
    <row r="458" spans="1:6" x14ac:dyDescent="0.2">
      <c r="A458" s="18"/>
      <c r="B458" s="185">
        <v>436</v>
      </c>
      <c r="C458" s="218">
        <v>544700</v>
      </c>
      <c r="D458" s="219">
        <v>186.46446665753797</v>
      </c>
      <c r="E458" s="188">
        <f t="shared" si="12"/>
        <v>2921.2000000000003</v>
      </c>
      <c r="F458" s="18"/>
    </row>
    <row r="459" spans="1:6" x14ac:dyDescent="0.2">
      <c r="A459" s="18"/>
      <c r="B459" s="185">
        <v>437</v>
      </c>
      <c r="C459" s="218">
        <v>546050</v>
      </c>
      <c r="D459" s="219">
        <v>186.49885583524028</v>
      </c>
      <c r="E459" s="188">
        <f t="shared" si="12"/>
        <v>2927.9</v>
      </c>
      <c r="F459" s="18"/>
    </row>
    <row r="460" spans="1:6" x14ac:dyDescent="0.2">
      <c r="A460" s="18"/>
      <c r="B460" s="185">
        <v>438</v>
      </c>
      <c r="C460" s="218">
        <v>547400</v>
      </c>
      <c r="D460" s="219">
        <v>186.53308798473387</v>
      </c>
      <c r="E460" s="188">
        <f t="shared" si="12"/>
        <v>2934.6</v>
      </c>
      <c r="F460" s="18"/>
    </row>
    <row r="461" spans="1:6" x14ac:dyDescent="0.2">
      <c r="A461" s="18"/>
      <c r="B461" s="185">
        <v>439</v>
      </c>
      <c r="C461" s="218">
        <v>548750</v>
      </c>
      <c r="D461" s="219">
        <v>186.56716417910445</v>
      </c>
      <c r="E461" s="188">
        <f t="shared" si="12"/>
        <v>2941.3</v>
      </c>
      <c r="F461" s="18"/>
    </row>
    <row r="462" spans="1:6" x14ac:dyDescent="0.2">
      <c r="A462" s="18"/>
      <c r="B462" s="185">
        <v>440</v>
      </c>
      <c r="C462" s="186">
        <v>550100</v>
      </c>
      <c r="D462" s="187">
        <v>186.6010854816825</v>
      </c>
      <c r="E462" s="188">
        <f t="shared" si="12"/>
        <v>2948</v>
      </c>
      <c r="F462" s="18"/>
    </row>
    <row r="463" spans="1:6" x14ac:dyDescent="0.2">
      <c r="A463" s="18"/>
      <c r="B463" s="185">
        <v>441</v>
      </c>
      <c r="C463" s="218">
        <v>551470</v>
      </c>
      <c r="D463" s="219">
        <v>186.64162182285847</v>
      </c>
      <c r="E463" s="188">
        <f t="shared" si="12"/>
        <v>2954.7000000000003</v>
      </c>
      <c r="F463" s="18"/>
    </row>
    <row r="464" spans="1:6" x14ac:dyDescent="0.2">
      <c r="A464" s="18"/>
      <c r="B464" s="185">
        <v>442</v>
      </c>
      <c r="C464" s="218">
        <v>552840</v>
      </c>
      <c r="D464" s="219">
        <v>186.68197474167624</v>
      </c>
      <c r="E464" s="188">
        <f t="shared" si="12"/>
        <v>2961.4</v>
      </c>
      <c r="F464" s="18"/>
    </row>
    <row r="465" spans="1:6" x14ac:dyDescent="0.2">
      <c r="A465" s="18"/>
      <c r="B465" s="185">
        <v>443</v>
      </c>
      <c r="C465" s="218">
        <v>554210</v>
      </c>
      <c r="D465" s="219">
        <v>186.72214548027358</v>
      </c>
      <c r="E465" s="188">
        <f t="shared" si="12"/>
        <v>2968.1</v>
      </c>
      <c r="F465" s="18"/>
    </row>
    <row r="466" spans="1:6" x14ac:dyDescent="0.2">
      <c r="A466" s="18"/>
      <c r="B466" s="185">
        <v>444</v>
      </c>
      <c r="C466" s="218">
        <v>555580</v>
      </c>
      <c r="D466" s="219">
        <v>186.76213526959793</v>
      </c>
      <c r="E466" s="188">
        <f t="shared" si="12"/>
        <v>2974.8</v>
      </c>
      <c r="F466" s="18"/>
    </row>
    <row r="467" spans="1:6" x14ac:dyDescent="0.2">
      <c r="A467" s="18"/>
      <c r="B467" s="185">
        <v>445</v>
      </c>
      <c r="C467" s="218">
        <v>556950</v>
      </c>
      <c r="D467" s="219">
        <v>186.80194532953212</v>
      </c>
      <c r="E467" s="188">
        <f t="shared" si="12"/>
        <v>2981.5</v>
      </c>
      <c r="F467" s="18"/>
    </row>
    <row r="468" spans="1:6" x14ac:dyDescent="0.2">
      <c r="A468" s="18"/>
      <c r="B468" s="185">
        <v>446</v>
      </c>
      <c r="C468" s="218">
        <v>558320</v>
      </c>
      <c r="D468" s="219">
        <v>186.84157686901813</v>
      </c>
      <c r="E468" s="188">
        <f t="shared" si="12"/>
        <v>2988.2000000000003</v>
      </c>
      <c r="F468" s="18"/>
    </row>
    <row r="469" spans="1:6" x14ac:dyDescent="0.2">
      <c r="A469" s="18"/>
      <c r="B469" s="185">
        <v>447</v>
      </c>
      <c r="C469" s="218">
        <v>559690</v>
      </c>
      <c r="D469" s="219">
        <v>186.88103108617983</v>
      </c>
      <c r="E469" s="188">
        <f t="shared" si="12"/>
        <v>2994.9</v>
      </c>
      <c r="F469" s="18"/>
    </row>
    <row r="470" spans="1:6" x14ac:dyDescent="0.2">
      <c r="A470" s="18"/>
      <c r="B470" s="185">
        <v>448</v>
      </c>
      <c r="C470" s="218">
        <v>561060</v>
      </c>
      <c r="D470" s="219">
        <v>186.92030916844351</v>
      </c>
      <c r="E470" s="188">
        <f t="shared" si="12"/>
        <v>3001.6</v>
      </c>
      <c r="F470" s="18"/>
    </row>
    <row r="471" spans="1:6" x14ac:dyDescent="0.2">
      <c r="A471" s="18"/>
      <c r="B471" s="185">
        <v>449</v>
      </c>
      <c r="C471" s="218">
        <v>562430</v>
      </c>
      <c r="D471" s="219">
        <v>186.95941229265696</v>
      </c>
      <c r="E471" s="188">
        <f t="shared" si="12"/>
        <v>3008.3</v>
      </c>
      <c r="F471" s="18"/>
    </row>
    <row r="472" spans="1:6" x14ac:dyDescent="0.2">
      <c r="A472" s="18"/>
      <c r="B472" s="185">
        <v>450</v>
      </c>
      <c r="C472" s="186">
        <v>563800</v>
      </c>
      <c r="D472" s="187">
        <v>186.9983416252073</v>
      </c>
      <c r="E472" s="188">
        <f t="shared" si="12"/>
        <v>3015</v>
      </c>
      <c r="F472" s="18"/>
    </row>
    <row r="473" spans="1:6" x14ac:dyDescent="0.2">
      <c r="A473" s="18"/>
      <c r="B473" s="185">
        <v>451</v>
      </c>
      <c r="C473" s="218">
        <v>565150</v>
      </c>
      <c r="D473" s="219">
        <v>187.0304795313896</v>
      </c>
      <c r="E473" s="188">
        <f t="shared" si="12"/>
        <v>3021.7000000000003</v>
      </c>
      <c r="F473" s="18"/>
    </row>
    <row r="474" spans="1:6" x14ac:dyDescent="0.2">
      <c r="A474" s="18"/>
      <c r="B474" s="185">
        <v>452</v>
      </c>
      <c r="C474" s="218">
        <v>566500</v>
      </c>
      <c r="D474" s="219">
        <v>187.06247523444722</v>
      </c>
      <c r="E474" s="188">
        <f t="shared" si="12"/>
        <v>3028.4</v>
      </c>
      <c r="F474" s="18"/>
    </row>
    <row r="475" spans="1:6" x14ac:dyDescent="0.2">
      <c r="A475" s="18"/>
      <c r="B475" s="185">
        <v>453</v>
      </c>
      <c r="C475" s="218">
        <v>567850</v>
      </c>
      <c r="D475" s="219">
        <v>187.0943296761227</v>
      </c>
      <c r="E475" s="188">
        <f t="shared" si="12"/>
        <v>3035.1</v>
      </c>
      <c r="F475" s="18"/>
    </row>
    <row r="476" spans="1:6" x14ac:dyDescent="0.2">
      <c r="A476" s="18"/>
      <c r="B476" s="185">
        <v>454</v>
      </c>
      <c r="C476" s="218">
        <v>569200</v>
      </c>
      <c r="D476" s="219">
        <v>187.12604378986126</v>
      </c>
      <c r="E476" s="188">
        <f t="shared" si="12"/>
        <v>3041.8</v>
      </c>
      <c r="F476" s="18"/>
    </row>
    <row r="477" spans="1:6" x14ac:dyDescent="0.2">
      <c r="A477" s="18"/>
      <c r="B477" s="185">
        <v>455</v>
      </c>
      <c r="C477" s="218">
        <v>570550</v>
      </c>
      <c r="D477" s="219">
        <v>187.15761850090209</v>
      </c>
      <c r="E477" s="188">
        <f t="shared" si="12"/>
        <v>3048.5</v>
      </c>
      <c r="F477" s="18"/>
    </row>
    <row r="478" spans="1:6" x14ac:dyDescent="0.2">
      <c r="A478" s="18"/>
      <c r="B478" s="185">
        <v>456</v>
      </c>
      <c r="C478" s="218">
        <v>571900</v>
      </c>
      <c r="D478" s="219">
        <v>187.18905472636814</v>
      </c>
      <c r="E478" s="188">
        <f t="shared" si="12"/>
        <v>3055.2000000000003</v>
      </c>
      <c r="F478" s="18"/>
    </row>
    <row r="479" spans="1:6" x14ac:dyDescent="0.2">
      <c r="A479" s="18"/>
      <c r="B479" s="185">
        <v>457</v>
      </c>
      <c r="C479" s="218">
        <v>573250</v>
      </c>
      <c r="D479" s="219">
        <v>187.22035337535516</v>
      </c>
      <c r="E479" s="188">
        <f t="shared" si="12"/>
        <v>3061.9</v>
      </c>
      <c r="F479" s="18"/>
    </row>
    <row r="480" spans="1:6" x14ac:dyDescent="0.2">
      <c r="A480" s="18"/>
      <c r="B480" s="185">
        <v>458</v>
      </c>
      <c r="C480" s="218">
        <v>574600</v>
      </c>
      <c r="D480" s="219">
        <v>187.25151534901912</v>
      </c>
      <c r="E480" s="188">
        <f t="shared" ref="E480:E543" si="13">B480*6.7</f>
        <v>3068.6</v>
      </c>
      <c r="F480" s="18"/>
    </row>
    <row r="481" spans="1:6" x14ac:dyDescent="0.2">
      <c r="A481" s="18"/>
      <c r="B481" s="185">
        <v>459</v>
      </c>
      <c r="C481" s="218">
        <v>575950</v>
      </c>
      <c r="D481" s="219">
        <v>187.28254154066269</v>
      </c>
      <c r="E481" s="188">
        <f t="shared" si="13"/>
        <v>3075.3</v>
      </c>
      <c r="F481" s="18"/>
    </row>
    <row r="482" spans="1:6" x14ac:dyDescent="0.2">
      <c r="A482" s="18"/>
      <c r="B482" s="185">
        <v>460</v>
      </c>
      <c r="C482" s="186">
        <v>577300</v>
      </c>
      <c r="D482" s="187">
        <v>187.31343283582089</v>
      </c>
      <c r="E482" s="188">
        <f t="shared" si="13"/>
        <v>3082</v>
      </c>
      <c r="F482" s="18"/>
    </row>
    <row r="483" spans="1:6" x14ac:dyDescent="0.2">
      <c r="A483" s="18"/>
      <c r="B483" s="185">
        <v>461</v>
      </c>
      <c r="C483" s="218">
        <v>578660</v>
      </c>
      <c r="D483" s="219">
        <v>187.34742772040016</v>
      </c>
      <c r="E483" s="188">
        <f t="shared" si="13"/>
        <v>3088.7000000000003</v>
      </c>
      <c r="F483" s="18"/>
    </row>
    <row r="484" spans="1:6" x14ac:dyDescent="0.2">
      <c r="A484" s="18"/>
      <c r="B484" s="185">
        <v>462</v>
      </c>
      <c r="C484" s="218">
        <v>580020</v>
      </c>
      <c r="D484" s="219">
        <v>187.38127544097694</v>
      </c>
      <c r="E484" s="188">
        <f t="shared" si="13"/>
        <v>3095.4</v>
      </c>
      <c r="F484" s="18"/>
    </row>
    <row r="485" spans="1:6" x14ac:dyDescent="0.2">
      <c r="A485" s="18"/>
      <c r="B485" s="185">
        <v>463</v>
      </c>
      <c r="C485" s="218">
        <v>581380</v>
      </c>
      <c r="D485" s="219">
        <v>187.41497695109766</v>
      </c>
      <c r="E485" s="188">
        <f t="shared" si="13"/>
        <v>3102.1</v>
      </c>
      <c r="F485" s="18"/>
    </row>
    <row r="486" spans="1:6" x14ac:dyDescent="0.2">
      <c r="A486" s="18"/>
      <c r="B486" s="185">
        <v>464</v>
      </c>
      <c r="C486" s="218">
        <v>582740</v>
      </c>
      <c r="D486" s="219">
        <v>187.4485331960885</v>
      </c>
      <c r="E486" s="188">
        <f t="shared" si="13"/>
        <v>3108.8</v>
      </c>
      <c r="F486" s="18"/>
    </row>
    <row r="487" spans="1:6" x14ac:dyDescent="0.2">
      <c r="A487" s="18"/>
      <c r="B487" s="185">
        <v>465</v>
      </c>
      <c r="C487" s="218">
        <v>584100</v>
      </c>
      <c r="D487" s="219">
        <v>187.48194511314395</v>
      </c>
      <c r="E487" s="188">
        <f t="shared" si="13"/>
        <v>3115.5</v>
      </c>
      <c r="F487" s="18"/>
    </row>
    <row r="488" spans="1:6" x14ac:dyDescent="0.2">
      <c r="A488" s="18"/>
      <c r="B488" s="185">
        <v>466</v>
      </c>
      <c r="C488" s="218">
        <v>585460</v>
      </c>
      <c r="D488" s="219">
        <v>187.51521363141373</v>
      </c>
      <c r="E488" s="188">
        <f t="shared" si="13"/>
        <v>3122.2000000000003</v>
      </c>
      <c r="F488" s="18"/>
    </row>
    <row r="489" spans="1:6" x14ac:dyDescent="0.2">
      <c r="A489" s="18"/>
      <c r="B489" s="185">
        <v>467</v>
      </c>
      <c r="C489" s="218">
        <v>586820</v>
      </c>
      <c r="D489" s="219">
        <v>187.54833967208921</v>
      </c>
      <c r="E489" s="188">
        <f t="shared" si="13"/>
        <v>3128.9</v>
      </c>
      <c r="F489" s="18"/>
    </row>
    <row r="490" spans="1:6" x14ac:dyDescent="0.2">
      <c r="A490" s="18"/>
      <c r="B490" s="185">
        <v>468</v>
      </c>
      <c r="C490" s="218">
        <v>588180</v>
      </c>
      <c r="D490" s="219">
        <v>187.58132414848833</v>
      </c>
      <c r="E490" s="188">
        <f t="shared" si="13"/>
        <v>3135.6</v>
      </c>
      <c r="F490" s="18"/>
    </row>
    <row r="491" spans="1:6" x14ac:dyDescent="0.2">
      <c r="A491" s="18"/>
      <c r="B491" s="185">
        <v>469</v>
      </c>
      <c r="C491" s="218">
        <v>589540</v>
      </c>
      <c r="D491" s="219">
        <v>187.61416796613943</v>
      </c>
      <c r="E491" s="188">
        <f t="shared" si="13"/>
        <v>3142.3</v>
      </c>
      <c r="F491" s="18"/>
    </row>
    <row r="492" spans="1:6" x14ac:dyDescent="0.2">
      <c r="A492" s="18"/>
      <c r="B492" s="185">
        <v>470</v>
      </c>
      <c r="C492" s="231">
        <v>590900</v>
      </c>
      <c r="D492" s="187">
        <v>187.64687202286441</v>
      </c>
      <c r="E492" s="188">
        <f t="shared" si="13"/>
        <v>3149</v>
      </c>
      <c r="F492" s="18"/>
    </row>
    <row r="493" spans="1:6" x14ac:dyDescent="0.2">
      <c r="A493" s="18"/>
      <c r="B493" s="185">
        <v>471</v>
      </c>
      <c r="C493" s="218">
        <v>592270</v>
      </c>
      <c r="D493" s="219">
        <v>187.6826060778908</v>
      </c>
      <c r="E493" s="188">
        <f t="shared" si="13"/>
        <v>3155.7000000000003</v>
      </c>
      <c r="F493" s="18"/>
    </row>
    <row r="494" spans="1:6" x14ac:dyDescent="0.2">
      <c r="A494" s="18"/>
      <c r="B494" s="185">
        <v>472</v>
      </c>
      <c r="C494" s="218">
        <v>593640</v>
      </c>
      <c r="D494" s="219">
        <v>187.7181887174298</v>
      </c>
      <c r="E494" s="188">
        <f t="shared" si="13"/>
        <v>3162.4</v>
      </c>
      <c r="F494" s="18"/>
    </row>
    <row r="495" spans="1:6" x14ac:dyDescent="0.2">
      <c r="A495" s="18"/>
      <c r="B495" s="185">
        <v>473</v>
      </c>
      <c r="C495" s="218">
        <v>595010</v>
      </c>
      <c r="D495" s="219">
        <v>187.75362090183333</v>
      </c>
      <c r="E495" s="188">
        <f t="shared" si="13"/>
        <v>3169.1</v>
      </c>
      <c r="F495" s="18"/>
    </row>
    <row r="496" spans="1:6" x14ac:dyDescent="0.2">
      <c r="A496" s="18"/>
      <c r="B496" s="185">
        <v>474</v>
      </c>
      <c r="C496" s="218">
        <v>596380</v>
      </c>
      <c r="D496" s="219">
        <v>187.78890358334905</v>
      </c>
      <c r="E496" s="188">
        <f t="shared" si="13"/>
        <v>3175.8</v>
      </c>
      <c r="F496" s="18"/>
    </row>
    <row r="497" spans="1:6" x14ac:dyDescent="0.2">
      <c r="A497" s="18"/>
      <c r="B497" s="185">
        <v>475</v>
      </c>
      <c r="C497" s="218">
        <v>597750</v>
      </c>
      <c r="D497" s="219">
        <v>187.82403770620581</v>
      </c>
      <c r="E497" s="188">
        <f t="shared" si="13"/>
        <v>3182.5</v>
      </c>
      <c r="F497" s="18"/>
    </row>
    <row r="498" spans="1:6" x14ac:dyDescent="0.2">
      <c r="A498" s="18"/>
      <c r="B498" s="185">
        <v>476</v>
      </c>
      <c r="C498" s="218">
        <v>599120</v>
      </c>
      <c r="D498" s="219">
        <v>187.8590242066976</v>
      </c>
      <c r="E498" s="188">
        <f t="shared" si="13"/>
        <v>3189.2000000000003</v>
      </c>
      <c r="F498" s="18"/>
    </row>
    <row r="499" spans="1:6" x14ac:dyDescent="0.2">
      <c r="A499" s="18"/>
      <c r="B499" s="185">
        <v>477</v>
      </c>
      <c r="C499" s="218">
        <v>600500</v>
      </c>
      <c r="D499" s="219">
        <v>187.89699302230983</v>
      </c>
      <c r="E499" s="188">
        <f t="shared" si="13"/>
        <v>3195.9</v>
      </c>
      <c r="F499" s="18"/>
    </row>
    <row r="500" spans="1:6" x14ac:dyDescent="0.2">
      <c r="A500" s="18"/>
      <c r="B500" s="185">
        <v>478</v>
      </c>
      <c r="C500" s="218">
        <v>601880</v>
      </c>
      <c r="D500" s="219">
        <v>187.93480297258478</v>
      </c>
      <c r="E500" s="188">
        <f t="shared" si="13"/>
        <v>3202.6</v>
      </c>
      <c r="F500" s="18"/>
    </row>
    <row r="501" spans="1:6" x14ac:dyDescent="0.2">
      <c r="A501" s="18"/>
      <c r="B501" s="185">
        <v>479</v>
      </c>
      <c r="C501" s="218">
        <v>603250</v>
      </c>
      <c r="D501" s="219">
        <v>187.96933910821673</v>
      </c>
      <c r="E501" s="188">
        <f t="shared" si="13"/>
        <v>3209.3</v>
      </c>
      <c r="F501" s="18"/>
    </row>
    <row r="502" spans="1:6" x14ac:dyDescent="0.2">
      <c r="A502" s="18"/>
      <c r="B502" s="185">
        <v>480</v>
      </c>
      <c r="C502" s="186">
        <v>604600</v>
      </c>
      <c r="D502" s="187">
        <v>187.99751243781094</v>
      </c>
      <c r="E502" s="188">
        <f t="shared" si="13"/>
        <v>3216</v>
      </c>
      <c r="F502" s="18"/>
    </row>
    <row r="503" spans="1:6" x14ac:dyDescent="0.2">
      <c r="A503" s="18"/>
      <c r="B503" s="185">
        <v>481</v>
      </c>
      <c r="C503" s="218">
        <v>605980</v>
      </c>
      <c r="D503" s="219">
        <v>188.03487758711637</v>
      </c>
      <c r="E503" s="188">
        <f t="shared" si="13"/>
        <v>3222.7000000000003</v>
      </c>
      <c r="F503" s="18"/>
    </row>
    <row r="504" spans="1:6" x14ac:dyDescent="0.2">
      <c r="A504" s="18"/>
      <c r="B504" s="185">
        <v>482</v>
      </c>
      <c r="C504" s="218">
        <v>607360</v>
      </c>
      <c r="D504" s="219">
        <v>188.07208769430852</v>
      </c>
      <c r="E504" s="188">
        <f t="shared" si="13"/>
        <v>3229.4</v>
      </c>
      <c r="F504" s="18"/>
    </row>
    <row r="505" spans="1:6" x14ac:dyDescent="0.2">
      <c r="A505" s="18"/>
      <c r="B505" s="185">
        <v>483</v>
      </c>
      <c r="C505" s="218">
        <v>608740</v>
      </c>
      <c r="D505" s="219">
        <v>188.10914372238187</v>
      </c>
      <c r="E505" s="188">
        <f t="shared" si="13"/>
        <v>3236.1</v>
      </c>
      <c r="F505" s="18"/>
    </row>
    <row r="506" spans="1:6" x14ac:dyDescent="0.2">
      <c r="A506" s="18"/>
      <c r="B506" s="185">
        <v>484</v>
      </c>
      <c r="C506" s="218">
        <v>610120</v>
      </c>
      <c r="D506" s="219">
        <v>188.14604662637225</v>
      </c>
      <c r="E506" s="188">
        <f t="shared" si="13"/>
        <v>3242.8</v>
      </c>
      <c r="F506" s="18"/>
    </row>
    <row r="507" spans="1:6" x14ac:dyDescent="0.2">
      <c r="A507" s="18"/>
      <c r="B507" s="185">
        <v>485</v>
      </c>
      <c r="C507" s="218">
        <v>611500</v>
      </c>
      <c r="D507" s="219">
        <v>188.18279735343899</v>
      </c>
      <c r="E507" s="188">
        <f t="shared" si="13"/>
        <v>3249.5</v>
      </c>
      <c r="F507" s="18"/>
    </row>
    <row r="508" spans="1:6" x14ac:dyDescent="0.2">
      <c r="A508" s="18"/>
      <c r="B508" s="185">
        <v>486</v>
      </c>
      <c r="C508" s="218">
        <v>612880</v>
      </c>
      <c r="D508" s="219">
        <v>188.21939684294574</v>
      </c>
      <c r="E508" s="188">
        <f t="shared" si="13"/>
        <v>3256.2000000000003</v>
      </c>
      <c r="F508" s="18"/>
    </row>
    <row r="509" spans="1:6" x14ac:dyDescent="0.2">
      <c r="A509" s="18"/>
      <c r="B509" s="185">
        <v>487</v>
      </c>
      <c r="C509" s="218">
        <v>614270</v>
      </c>
      <c r="D509" s="219">
        <v>188.25891078488462</v>
      </c>
      <c r="E509" s="188">
        <f t="shared" si="13"/>
        <v>3262.9</v>
      </c>
      <c r="F509" s="18"/>
    </row>
    <row r="510" spans="1:6" x14ac:dyDescent="0.2">
      <c r="A510" s="18"/>
      <c r="B510" s="185">
        <v>488</v>
      </c>
      <c r="C510" s="218">
        <v>615660</v>
      </c>
      <c r="D510" s="219">
        <v>188.29826278443846</v>
      </c>
      <c r="E510" s="188">
        <f t="shared" si="13"/>
        <v>3269.6</v>
      </c>
      <c r="F510" s="18"/>
    </row>
    <row r="511" spans="1:6" x14ac:dyDescent="0.2">
      <c r="A511" s="18"/>
      <c r="B511" s="185">
        <v>489</v>
      </c>
      <c r="C511" s="218">
        <v>617040</v>
      </c>
      <c r="D511" s="219">
        <v>188.33440161157401</v>
      </c>
      <c r="E511" s="188">
        <f t="shared" si="13"/>
        <v>3276.3</v>
      </c>
      <c r="F511" s="18"/>
    </row>
    <row r="512" spans="1:6" x14ac:dyDescent="0.2">
      <c r="A512" s="18"/>
      <c r="B512" s="185">
        <v>490</v>
      </c>
      <c r="C512" s="186">
        <v>618400</v>
      </c>
      <c r="D512" s="187">
        <v>188.3643009442583</v>
      </c>
      <c r="E512" s="188">
        <f t="shared" si="13"/>
        <v>3283</v>
      </c>
      <c r="F512" s="18"/>
    </row>
    <row r="513" spans="1:6" x14ac:dyDescent="0.2">
      <c r="A513" s="18"/>
      <c r="B513" s="185">
        <v>491</v>
      </c>
      <c r="C513" s="218">
        <v>619790</v>
      </c>
      <c r="D513" s="219">
        <v>188.40319785998722</v>
      </c>
      <c r="E513" s="188">
        <f t="shared" si="13"/>
        <v>3289.7000000000003</v>
      </c>
      <c r="F513" s="18"/>
    </row>
    <row r="514" spans="1:6" x14ac:dyDescent="0.2">
      <c r="A514" s="18"/>
      <c r="B514" s="185">
        <v>492</v>
      </c>
      <c r="C514" s="218">
        <v>621180</v>
      </c>
      <c r="D514" s="219">
        <v>188.44193665817255</v>
      </c>
      <c r="E514" s="188">
        <f t="shared" si="13"/>
        <v>3296.4</v>
      </c>
      <c r="F514" s="18"/>
    </row>
    <row r="515" spans="1:6" x14ac:dyDescent="0.2">
      <c r="A515" s="18"/>
      <c r="B515" s="185">
        <v>493</v>
      </c>
      <c r="C515" s="218">
        <v>622570</v>
      </c>
      <c r="D515" s="219">
        <v>188.48051830098998</v>
      </c>
      <c r="E515" s="188">
        <f t="shared" si="13"/>
        <v>3303.1</v>
      </c>
      <c r="F515" s="18"/>
    </row>
    <row r="516" spans="1:6" x14ac:dyDescent="0.2">
      <c r="A516" s="18"/>
      <c r="B516" s="185">
        <v>494</v>
      </c>
      <c r="C516" s="218">
        <v>623960</v>
      </c>
      <c r="D516" s="219">
        <v>188.51894374282432</v>
      </c>
      <c r="E516" s="188">
        <f t="shared" si="13"/>
        <v>3309.8</v>
      </c>
      <c r="F516" s="18"/>
    </row>
    <row r="517" spans="1:6" x14ac:dyDescent="0.2">
      <c r="A517" s="18"/>
      <c r="B517" s="185">
        <v>495</v>
      </c>
      <c r="C517" s="218">
        <v>625350</v>
      </c>
      <c r="D517" s="219">
        <v>188.55721393034827</v>
      </c>
      <c r="E517" s="188">
        <f t="shared" si="13"/>
        <v>3316.5</v>
      </c>
      <c r="F517" s="18"/>
    </row>
    <row r="518" spans="1:6" x14ac:dyDescent="0.2">
      <c r="A518" s="18"/>
      <c r="B518" s="185">
        <v>496</v>
      </c>
      <c r="C518" s="218">
        <v>626740</v>
      </c>
      <c r="D518" s="219">
        <v>188.59532980259988</v>
      </c>
      <c r="E518" s="188">
        <f t="shared" si="13"/>
        <v>3323.2000000000003</v>
      </c>
      <c r="F518" s="18"/>
    </row>
    <row r="519" spans="1:6" x14ac:dyDescent="0.2">
      <c r="A519" s="18"/>
      <c r="B519" s="185">
        <v>497</v>
      </c>
      <c r="C519" s="218">
        <v>628130</v>
      </c>
      <c r="D519" s="219">
        <v>188.63329229105977</v>
      </c>
      <c r="E519" s="188">
        <f t="shared" si="13"/>
        <v>3329.9</v>
      </c>
      <c r="F519" s="18"/>
    </row>
    <row r="520" spans="1:6" x14ac:dyDescent="0.2">
      <c r="A520" s="18"/>
      <c r="B520" s="185">
        <v>498</v>
      </c>
      <c r="C520" s="218">
        <v>629520</v>
      </c>
      <c r="D520" s="219">
        <v>188.67110231972669</v>
      </c>
      <c r="E520" s="188">
        <f t="shared" si="13"/>
        <v>3336.6</v>
      </c>
      <c r="F520" s="18"/>
    </row>
    <row r="521" spans="1:6" x14ac:dyDescent="0.2">
      <c r="A521" s="18"/>
      <c r="B521" s="185">
        <v>499</v>
      </c>
      <c r="C521" s="218">
        <v>630910</v>
      </c>
      <c r="D521" s="219">
        <v>188.70876080519247</v>
      </c>
      <c r="E521" s="188">
        <f t="shared" si="13"/>
        <v>3343.3</v>
      </c>
      <c r="F521" s="18"/>
    </row>
    <row r="522" spans="1:6" x14ac:dyDescent="0.2">
      <c r="A522" s="18"/>
      <c r="B522" s="185">
        <v>500</v>
      </c>
      <c r="C522" s="186">
        <v>632300</v>
      </c>
      <c r="D522" s="187">
        <v>188.74626865671641</v>
      </c>
      <c r="E522" s="188">
        <f t="shared" si="13"/>
        <v>3350</v>
      </c>
      <c r="F522" s="18"/>
    </row>
    <row r="523" spans="1:6" x14ac:dyDescent="0.2">
      <c r="A523" s="18"/>
      <c r="B523" s="185">
        <v>501</v>
      </c>
      <c r="C523" s="218">
        <v>633690</v>
      </c>
      <c r="D523" s="219">
        <v>188.78362677629812</v>
      </c>
      <c r="E523" s="188">
        <f t="shared" si="13"/>
        <v>3356.7000000000003</v>
      </c>
      <c r="F523" s="18"/>
    </row>
    <row r="524" spans="1:6" x14ac:dyDescent="0.2">
      <c r="A524" s="18"/>
      <c r="B524" s="185">
        <v>502</v>
      </c>
      <c r="C524" s="218">
        <v>635080</v>
      </c>
      <c r="D524" s="219">
        <v>188.82083605875007</v>
      </c>
      <c r="E524" s="188">
        <f t="shared" si="13"/>
        <v>3363.4</v>
      </c>
      <c r="F524" s="18"/>
    </row>
    <row r="525" spans="1:6" x14ac:dyDescent="0.2">
      <c r="A525" s="18"/>
      <c r="B525" s="185">
        <v>503</v>
      </c>
      <c r="C525" s="218">
        <v>636470</v>
      </c>
      <c r="D525" s="219">
        <v>188.8578973917688</v>
      </c>
      <c r="E525" s="188">
        <f t="shared" si="13"/>
        <v>3370.1</v>
      </c>
      <c r="F525" s="18"/>
    </row>
    <row r="526" spans="1:6" x14ac:dyDescent="0.2">
      <c r="A526" s="18"/>
      <c r="B526" s="185">
        <v>504</v>
      </c>
      <c r="C526" s="218">
        <v>637860</v>
      </c>
      <c r="D526" s="219">
        <v>188.89481165600569</v>
      </c>
      <c r="E526" s="188">
        <f t="shared" si="13"/>
        <v>3376.8</v>
      </c>
      <c r="F526" s="18"/>
    </row>
    <row r="527" spans="1:6" x14ac:dyDescent="0.2">
      <c r="A527" s="18"/>
      <c r="B527" s="185">
        <v>505</v>
      </c>
      <c r="C527" s="218">
        <v>639250</v>
      </c>
      <c r="D527" s="219">
        <v>188.93157972513669</v>
      </c>
      <c r="E527" s="188">
        <f t="shared" si="13"/>
        <v>3383.5</v>
      </c>
      <c r="F527" s="18"/>
    </row>
    <row r="528" spans="1:6" x14ac:dyDescent="0.2">
      <c r="A528" s="18"/>
      <c r="B528" s="185">
        <v>506</v>
      </c>
      <c r="C528" s="218">
        <v>640640</v>
      </c>
      <c r="D528" s="219">
        <v>188.9682024659312</v>
      </c>
      <c r="E528" s="188">
        <f t="shared" si="13"/>
        <v>3390.2000000000003</v>
      </c>
      <c r="F528" s="18"/>
    </row>
    <row r="529" spans="1:6" x14ac:dyDescent="0.2">
      <c r="A529" s="18"/>
      <c r="B529" s="185">
        <v>507</v>
      </c>
      <c r="C529" s="218">
        <v>642030</v>
      </c>
      <c r="D529" s="219">
        <v>189.00468073832022</v>
      </c>
      <c r="E529" s="188">
        <f t="shared" si="13"/>
        <v>3396.9</v>
      </c>
      <c r="F529" s="18"/>
    </row>
    <row r="530" spans="1:6" x14ac:dyDescent="0.2">
      <c r="A530" s="18"/>
      <c r="B530" s="185">
        <v>508</v>
      </c>
      <c r="C530" s="218">
        <v>643420</v>
      </c>
      <c r="D530" s="219">
        <v>189.04101539546363</v>
      </c>
      <c r="E530" s="188">
        <f t="shared" si="13"/>
        <v>3403.6</v>
      </c>
      <c r="F530" s="18"/>
    </row>
    <row r="531" spans="1:6" x14ac:dyDescent="0.2">
      <c r="A531" s="18"/>
      <c r="B531" s="185">
        <v>509</v>
      </c>
      <c r="C531" s="218">
        <v>644810</v>
      </c>
      <c r="D531" s="219">
        <v>189.07720728381668</v>
      </c>
      <c r="E531" s="188">
        <f t="shared" si="13"/>
        <v>3410.3</v>
      </c>
      <c r="F531" s="18"/>
    </row>
    <row r="532" spans="1:6" x14ac:dyDescent="0.2">
      <c r="A532" s="18"/>
      <c r="B532" s="185">
        <v>510</v>
      </c>
      <c r="C532" s="186">
        <v>646200</v>
      </c>
      <c r="D532" s="187">
        <v>189.11325724319579</v>
      </c>
      <c r="E532" s="188">
        <f t="shared" si="13"/>
        <v>3417</v>
      </c>
      <c r="F532" s="18"/>
    </row>
    <row r="533" spans="1:6" x14ac:dyDescent="0.2">
      <c r="A533" s="18"/>
      <c r="B533" s="185">
        <v>511</v>
      </c>
      <c r="C533" s="218">
        <v>647600</v>
      </c>
      <c r="D533" s="219">
        <v>189.15208692350379</v>
      </c>
      <c r="E533" s="188">
        <f t="shared" si="13"/>
        <v>3423.7000000000003</v>
      </c>
      <c r="F533" s="18"/>
    </row>
    <row r="534" spans="1:6" x14ac:dyDescent="0.2">
      <c r="A534" s="18"/>
      <c r="B534" s="185">
        <v>512</v>
      </c>
      <c r="C534" s="218">
        <v>649000</v>
      </c>
      <c r="D534" s="219">
        <v>189.19076492537312</v>
      </c>
      <c r="E534" s="188">
        <f t="shared" si="13"/>
        <v>3430.4</v>
      </c>
      <c r="F534" s="18"/>
    </row>
    <row r="535" spans="1:6" x14ac:dyDescent="0.2">
      <c r="A535" s="18"/>
      <c r="B535" s="185">
        <v>513</v>
      </c>
      <c r="C535" s="218">
        <v>650400</v>
      </c>
      <c r="D535" s="219">
        <v>189.22929213581216</v>
      </c>
      <c r="E535" s="188">
        <f t="shared" si="13"/>
        <v>3437.1</v>
      </c>
      <c r="F535" s="18"/>
    </row>
    <row r="536" spans="1:6" x14ac:dyDescent="0.2">
      <c r="A536" s="18"/>
      <c r="B536" s="185">
        <v>514</v>
      </c>
      <c r="C536" s="218">
        <v>651800</v>
      </c>
      <c r="D536" s="219">
        <v>189.26766943492652</v>
      </c>
      <c r="E536" s="188">
        <f t="shared" si="13"/>
        <v>3443.8</v>
      </c>
      <c r="F536" s="18"/>
    </row>
    <row r="537" spans="1:6" x14ac:dyDescent="0.2">
      <c r="A537" s="18"/>
      <c r="B537" s="185">
        <v>515</v>
      </c>
      <c r="C537" s="218">
        <v>653200</v>
      </c>
      <c r="D537" s="219">
        <v>189.30589769598609</v>
      </c>
      <c r="E537" s="188">
        <f t="shared" si="13"/>
        <v>3450.5</v>
      </c>
      <c r="F537" s="18"/>
    </row>
    <row r="538" spans="1:6" x14ac:dyDescent="0.2">
      <c r="A538" s="18"/>
      <c r="B538" s="185">
        <v>516</v>
      </c>
      <c r="C538" s="218">
        <v>654600</v>
      </c>
      <c r="D538" s="219">
        <v>189.34397778549112</v>
      </c>
      <c r="E538" s="188">
        <f t="shared" si="13"/>
        <v>3457.2000000000003</v>
      </c>
      <c r="F538" s="18"/>
    </row>
    <row r="539" spans="1:6" x14ac:dyDescent="0.2">
      <c r="A539" s="18"/>
      <c r="B539" s="185">
        <v>517</v>
      </c>
      <c r="C539" s="218">
        <v>656000</v>
      </c>
      <c r="D539" s="219">
        <v>189.38191056323797</v>
      </c>
      <c r="E539" s="188">
        <f t="shared" si="13"/>
        <v>3463.9</v>
      </c>
      <c r="F539" s="18"/>
    </row>
    <row r="540" spans="1:6" x14ac:dyDescent="0.2">
      <c r="A540" s="18"/>
      <c r="B540" s="185">
        <v>518</v>
      </c>
      <c r="C540" s="218">
        <v>657400</v>
      </c>
      <c r="D540" s="219">
        <v>189.41969688238345</v>
      </c>
      <c r="E540" s="188">
        <f t="shared" si="13"/>
        <v>3470.6</v>
      </c>
      <c r="F540" s="18"/>
    </row>
    <row r="541" spans="1:6" x14ac:dyDescent="0.2">
      <c r="A541" s="18"/>
      <c r="B541" s="185">
        <v>519</v>
      </c>
      <c r="C541" s="218">
        <v>658800</v>
      </c>
      <c r="D541" s="219">
        <v>189.45733758950908</v>
      </c>
      <c r="E541" s="188">
        <f t="shared" si="13"/>
        <v>3477.3</v>
      </c>
      <c r="F541" s="18"/>
    </row>
    <row r="542" spans="1:6" x14ac:dyDescent="0.2">
      <c r="A542" s="18"/>
      <c r="B542" s="185">
        <v>520</v>
      </c>
      <c r="C542" s="186">
        <v>660200</v>
      </c>
      <c r="D542" s="187">
        <v>189.49483352468428</v>
      </c>
      <c r="E542" s="188">
        <f t="shared" si="13"/>
        <v>3484</v>
      </c>
      <c r="F542" s="18"/>
    </row>
    <row r="543" spans="1:6" x14ac:dyDescent="0.2">
      <c r="A543" s="18"/>
      <c r="B543" s="185">
        <v>521</v>
      </c>
      <c r="C543" s="218">
        <v>661610</v>
      </c>
      <c r="D543" s="219">
        <v>189.53505027644883</v>
      </c>
      <c r="E543" s="188">
        <f t="shared" si="13"/>
        <v>3490.7000000000003</v>
      </c>
      <c r="F543" s="18"/>
    </row>
    <row r="544" spans="1:6" x14ac:dyDescent="0.2">
      <c r="A544" s="18"/>
      <c r="B544" s="185">
        <v>522</v>
      </c>
      <c r="C544" s="218">
        <v>663020</v>
      </c>
      <c r="D544" s="219">
        <v>189.57511294104191</v>
      </c>
      <c r="E544" s="188">
        <f t="shared" ref="E544:E566" si="14">B544*6.7</f>
        <v>3497.4</v>
      </c>
      <c r="F544" s="18"/>
    </row>
    <row r="545" spans="1:6" x14ac:dyDescent="0.2">
      <c r="A545" s="18"/>
      <c r="B545" s="185">
        <v>523</v>
      </c>
      <c r="C545" s="218">
        <v>664430</v>
      </c>
      <c r="D545" s="219">
        <v>189.61502240232872</v>
      </c>
      <c r="E545" s="188">
        <f t="shared" si="14"/>
        <v>3504.1</v>
      </c>
      <c r="F545" s="18"/>
    </row>
    <row r="546" spans="1:6" x14ac:dyDescent="0.2">
      <c r="A546" s="18"/>
      <c r="B546" s="185">
        <v>524</v>
      </c>
      <c r="C546" s="218">
        <v>665840</v>
      </c>
      <c r="D546" s="219">
        <v>189.65477953742734</v>
      </c>
      <c r="E546" s="188">
        <f t="shared" si="14"/>
        <v>3510.8</v>
      </c>
      <c r="F546" s="18"/>
    </row>
    <row r="547" spans="1:6" x14ac:dyDescent="0.2">
      <c r="A547" s="18"/>
      <c r="B547" s="185">
        <v>525</v>
      </c>
      <c r="C547" s="218">
        <v>667250</v>
      </c>
      <c r="D547" s="219">
        <v>189.69438521677327</v>
      </c>
      <c r="E547" s="188">
        <f t="shared" si="14"/>
        <v>3517.5</v>
      </c>
      <c r="F547" s="18"/>
    </row>
    <row r="548" spans="1:6" x14ac:dyDescent="0.2">
      <c r="A548" s="18"/>
      <c r="B548" s="185">
        <v>526</v>
      </c>
      <c r="C548" s="218">
        <v>668660</v>
      </c>
      <c r="D548" s="219">
        <v>189.73384030418251</v>
      </c>
      <c r="E548" s="188">
        <f t="shared" si="14"/>
        <v>3524.2000000000003</v>
      </c>
      <c r="F548" s="18"/>
    </row>
    <row r="549" spans="1:6" x14ac:dyDescent="0.2">
      <c r="A549" s="18"/>
      <c r="B549" s="185">
        <v>527</v>
      </c>
      <c r="C549" s="218">
        <v>670070</v>
      </c>
      <c r="D549" s="219">
        <v>189.77314565691466</v>
      </c>
      <c r="E549" s="188">
        <f t="shared" si="14"/>
        <v>3530.9</v>
      </c>
      <c r="F549" s="18"/>
    </row>
    <row r="550" spans="1:6" x14ac:dyDescent="0.2">
      <c r="A550" s="18"/>
      <c r="B550" s="185">
        <v>528</v>
      </c>
      <c r="C550" s="218">
        <v>671480</v>
      </c>
      <c r="D550" s="219">
        <v>189.81230212573496</v>
      </c>
      <c r="E550" s="188">
        <f t="shared" si="14"/>
        <v>3537.6</v>
      </c>
      <c r="F550" s="18"/>
    </row>
    <row r="551" spans="1:6" x14ac:dyDescent="0.2">
      <c r="A551" s="18"/>
      <c r="B551" s="185">
        <v>529</v>
      </c>
      <c r="C551" s="218">
        <v>672890</v>
      </c>
      <c r="D551" s="219">
        <v>189.85131055497558</v>
      </c>
      <c r="E551" s="188">
        <f t="shared" si="14"/>
        <v>3544.3</v>
      </c>
      <c r="F551" s="18"/>
    </row>
    <row r="552" spans="1:6" x14ac:dyDescent="0.2">
      <c r="A552" s="18"/>
      <c r="B552" s="185">
        <v>530</v>
      </c>
      <c r="C552" s="186">
        <v>674300</v>
      </c>
      <c r="D552" s="187">
        <v>189.89017178259644</v>
      </c>
      <c r="E552" s="188">
        <f t="shared" si="14"/>
        <v>3551</v>
      </c>
      <c r="F552" s="18"/>
    </row>
    <row r="553" spans="1:6" x14ac:dyDescent="0.2">
      <c r="A553" s="18"/>
      <c r="B553" s="185">
        <v>531</v>
      </c>
      <c r="C553" s="218">
        <v>675680</v>
      </c>
      <c r="D553" s="219">
        <v>189.92045422604491</v>
      </c>
      <c r="E553" s="188">
        <f t="shared" si="14"/>
        <v>3557.7000000000003</v>
      </c>
      <c r="F553" s="18"/>
    </row>
    <row r="554" spans="1:6" x14ac:dyDescent="0.2">
      <c r="A554" s="18"/>
      <c r="B554" s="185">
        <v>532</v>
      </c>
      <c r="C554" s="218">
        <v>677060</v>
      </c>
      <c r="D554" s="219">
        <v>189.95062282572101</v>
      </c>
      <c r="E554" s="188">
        <f t="shared" si="14"/>
        <v>3564.4</v>
      </c>
      <c r="F554" s="18"/>
    </row>
    <row r="555" spans="1:6" x14ac:dyDescent="0.2">
      <c r="A555" s="18"/>
      <c r="B555" s="185">
        <v>533</v>
      </c>
      <c r="C555" s="218">
        <v>678440</v>
      </c>
      <c r="D555" s="219">
        <v>189.98067822239648</v>
      </c>
      <c r="E555" s="188">
        <f t="shared" si="14"/>
        <v>3571.1</v>
      </c>
      <c r="F555" s="18"/>
    </row>
    <row r="556" spans="1:6" x14ac:dyDescent="0.2">
      <c r="A556" s="18"/>
      <c r="B556" s="185">
        <v>534</v>
      </c>
      <c r="C556" s="218">
        <v>679820</v>
      </c>
      <c r="D556" s="219">
        <v>190.01062105204315</v>
      </c>
      <c r="E556" s="188">
        <f t="shared" si="14"/>
        <v>3577.8</v>
      </c>
      <c r="F556" s="18"/>
    </row>
    <row r="557" spans="1:6" x14ac:dyDescent="0.2">
      <c r="A557" s="18"/>
      <c r="B557" s="185">
        <v>535</v>
      </c>
      <c r="C557" s="218">
        <v>681200</v>
      </c>
      <c r="D557" s="219">
        <v>190.04045194587809</v>
      </c>
      <c r="E557" s="188">
        <f t="shared" si="14"/>
        <v>3584.5</v>
      </c>
      <c r="F557" s="18"/>
    </row>
    <row r="558" spans="1:6" x14ac:dyDescent="0.2">
      <c r="A558" s="18"/>
      <c r="B558" s="185">
        <v>536</v>
      </c>
      <c r="C558" s="218">
        <v>682580</v>
      </c>
      <c r="D558" s="219">
        <v>190.07017153040766</v>
      </c>
      <c r="E558" s="188">
        <f t="shared" si="14"/>
        <v>3591.2000000000003</v>
      </c>
      <c r="F558" s="18"/>
    </row>
    <row r="559" spans="1:6" x14ac:dyDescent="0.2">
      <c r="A559" s="18"/>
      <c r="B559" s="185">
        <v>537</v>
      </c>
      <c r="C559" s="218">
        <v>683960</v>
      </c>
      <c r="D559" s="219">
        <v>190.09978042747159</v>
      </c>
      <c r="E559" s="188">
        <f t="shared" si="14"/>
        <v>3597.9</v>
      </c>
      <c r="F559" s="18"/>
    </row>
    <row r="560" spans="1:6" x14ac:dyDescent="0.2">
      <c r="A560" s="18"/>
      <c r="B560" s="185">
        <v>538</v>
      </c>
      <c r="C560" s="218">
        <v>685340</v>
      </c>
      <c r="D560" s="219">
        <v>190.12927925428619</v>
      </c>
      <c r="E560" s="188">
        <f t="shared" si="14"/>
        <v>3604.6</v>
      </c>
      <c r="F560" s="18"/>
    </row>
    <row r="561" spans="1:6" x14ac:dyDescent="0.2">
      <c r="A561" s="18"/>
      <c r="B561" s="185">
        <v>539</v>
      </c>
      <c r="C561" s="218">
        <v>686720</v>
      </c>
      <c r="D561" s="219">
        <v>190.15866862348739</v>
      </c>
      <c r="E561" s="188">
        <f t="shared" si="14"/>
        <v>3611.3</v>
      </c>
      <c r="F561" s="18"/>
    </row>
    <row r="562" spans="1:6" x14ac:dyDescent="0.2">
      <c r="A562" s="18"/>
      <c r="B562" s="185">
        <v>540</v>
      </c>
      <c r="C562" s="186">
        <v>688100</v>
      </c>
      <c r="D562" s="187">
        <v>190.18794914317303</v>
      </c>
      <c r="E562" s="188">
        <f t="shared" si="14"/>
        <v>3618</v>
      </c>
      <c r="F562" s="18"/>
    </row>
    <row r="563" spans="1:6" x14ac:dyDescent="0.2">
      <c r="A563" s="18"/>
      <c r="B563" s="185">
        <v>541</v>
      </c>
      <c r="C563" s="249">
        <v>689475</v>
      </c>
      <c r="D563" s="219">
        <v>190.21574199244074</v>
      </c>
      <c r="E563" s="188">
        <f t="shared" si="14"/>
        <v>3624.7000000000003</v>
      </c>
      <c r="F563" s="18"/>
    </row>
    <row r="564" spans="1:6" x14ac:dyDescent="0.2">
      <c r="A564" s="18"/>
      <c r="B564" s="185">
        <v>542</v>
      </c>
      <c r="C564" s="249">
        <v>690850</v>
      </c>
      <c r="D564" s="219">
        <v>190.2434322850691</v>
      </c>
      <c r="E564" s="188">
        <f t="shared" si="14"/>
        <v>3631.4</v>
      </c>
      <c r="F564" s="18"/>
    </row>
    <row r="565" spans="1:6" x14ac:dyDescent="0.2">
      <c r="A565" s="18"/>
      <c r="B565" s="185">
        <v>543</v>
      </c>
      <c r="C565" s="249">
        <v>692225</v>
      </c>
      <c r="D565" s="219">
        <v>190.2710205876694</v>
      </c>
      <c r="E565" s="188">
        <f t="shared" si="14"/>
        <v>3638.1</v>
      </c>
      <c r="F565" s="18"/>
    </row>
    <row r="566" spans="1:6" ht="13.5" thickBot="1" x14ac:dyDescent="0.25">
      <c r="A566" s="18"/>
      <c r="B566" s="251">
        <v>544</v>
      </c>
      <c r="C566" s="252">
        <v>693600</v>
      </c>
      <c r="D566" s="253">
        <v>190.29850746268656</v>
      </c>
      <c r="E566" s="254">
        <f t="shared" si="14"/>
        <v>3644.8</v>
      </c>
      <c r="F566" s="18"/>
    </row>
    <row r="567" spans="1:6" ht="13.5" thickTop="1" x14ac:dyDescent="0.2">
      <c r="A567" s="18"/>
      <c r="B567" s="17"/>
      <c r="C567" s="17"/>
      <c r="D567" s="18"/>
      <c r="E567" s="18"/>
      <c r="F567" s="18"/>
    </row>
  </sheetData>
  <sheetProtection sheet="1" objects="1" scenarios="1"/>
  <sortState xmlns:xlrd2="http://schemas.microsoft.com/office/spreadsheetml/2017/richdata2" ref="G29:J31">
    <sortCondition ref="G29:G31"/>
  </sortState>
  <mergeCells count="13">
    <mergeCell ref="O26:P26"/>
    <mergeCell ref="P17:Q18"/>
    <mergeCell ref="F11:I11"/>
    <mergeCell ref="G17:H17"/>
    <mergeCell ref="G15:H15"/>
    <mergeCell ref="G16:H16"/>
    <mergeCell ref="G18:H18"/>
    <mergeCell ref="I41:K41"/>
    <mergeCell ref="H53:M53"/>
    <mergeCell ref="L56:L63"/>
    <mergeCell ref="G20:H20"/>
    <mergeCell ref="G19:H19"/>
    <mergeCell ref="G27:G28"/>
  </mergeCells>
  <pageMargins left="0.7" right="0.7" top="0.75" bottom="0.75" header="0.3" footer="0.3"/>
  <ignoredErrors>
    <ignoredError sqref="N18:O18 C22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King Air Loading Calculations</vt:lpstr>
      <vt:lpstr>Instructions</vt:lpstr>
      <vt:lpstr>Ref Data</vt:lpstr>
      <vt:lpstr>Installed_Seat_WT</vt:lpstr>
      <vt:lpstr>Max_Ramp_Wt</vt:lpstr>
      <vt:lpstr>Max_Takeoff_Wt</vt:lpstr>
      <vt:lpstr>Max_Zero_Fuel_Wt</vt:lpstr>
      <vt:lpstr>'King Air Loading Calculations'!Print_Area</vt:lpstr>
      <vt:lpstr>SGear_Moment</vt:lpstr>
      <vt:lpstr>SGear_Wt</vt:lpstr>
      <vt:lpstr>Takeoff_CG</vt:lpstr>
      <vt:lpstr>Takeoff_Wt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alan transnorthern.com</cp:lastModifiedBy>
  <cp:lastPrinted>2020-06-23T15:08:26Z</cp:lastPrinted>
  <dcterms:created xsi:type="dcterms:W3CDTF">2017-08-01T15:12:02Z</dcterms:created>
  <dcterms:modified xsi:type="dcterms:W3CDTF">2025-07-10T01:08:20Z</dcterms:modified>
</cp:coreProperties>
</file>