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_TransNorthern\Aircraft\Volpar\N404CK\Weight and Balance\"/>
    </mc:Choice>
  </mc:AlternateContent>
  <xr:revisionPtr revIDLastSave="0" documentId="13_ncr:1_{61A2C6D0-11B9-48C4-951F-FA2B301D49BE}" xr6:coauthVersionLast="47" xr6:coauthVersionMax="47" xr10:uidLastSave="{00000000-0000-0000-0000-000000000000}"/>
  <bookViews>
    <workbookView xWindow="1470" yWindow="285" windowWidth="27330" windowHeight="15255" xr2:uid="{E0F8542F-5B26-4A6F-8953-C71C840336DA}"/>
  </bookViews>
  <sheets>
    <sheet name="Volpar Equal Dist Loads" sheetId="1" r:id="rId1"/>
    <sheet name="Volpar Individual Loads" sheetId="2" r:id="rId2"/>
  </sheets>
  <definedNames>
    <definedName name="Even_Distb_Ld" localSheetId="1">'Volpar Individual Loads'!$B$11</definedName>
    <definedName name="Even_Distb_Ld">'Volpar Equal Dist Loads'!$B$11</definedName>
    <definedName name="Loaded_Monent" localSheetId="0">'Volpar Equal Dist Loads'!$O$34</definedName>
    <definedName name="Loaded_Monent" localSheetId="1">'Volpar Individual Loads'!$O$34</definedName>
    <definedName name="Loaded_Wt" localSheetId="1">'Volpar Individual Loads'!$M$34</definedName>
    <definedName name="Loaded_Wt">'Volpar Equal Dist Loads'!$M$34</definedName>
    <definedName name="Max_Ld_Wt." localSheetId="0">'Volpar Equal Dist Loads'!$O$11</definedName>
    <definedName name="Max_Ld_Wt." localSheetId="1">'Volpar Individual Loads'!$O$11</definedName>
    <definedName name="_xlnm.Print_Area" localSheetId="0">'Volpar Equal Dist Loads'!$B$2:$J$19</definedName>
    <definedName name="_xlnm.Print_Area" localSheetId="1">'Volpar Individual Loads'!$B$2:$J$19</definedName>
    <definedName name="Take_Off_C.G." localSheetId="0">'Volpar Equal Dist Loads'!$G$16</definedName>
    <definedName name="Take_Off_C.G." localSheetId="1">'Volpar Individual Loads'!$G$16</definedName>
    <definedName name="Take_Off_Wt." localSheetId="0">'Volpar Equal Dist Loads'!$G$14</definedName>
    <definedName name="Take_Off_Wt." localSheetId="1">'Volpar Individual Loads'!$G$14</definedName>
    <definedName name="ZFW" localSheetId="0">'Volpar Equal Dist Loads'!$O$10</definedName>
    <definedName name="ZFW" localSheetId="1">'Volpar Individual Loads'!$O$10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1" l="1"/>
  <c r="N31" i="2"/>
  <c r="N31" i="1"/>
  <c r="M31" i="2"/>
  <c r="M31" i="1"/>
  <c r="O19" i="2"/>
  <c r="O9" i="1"/>
  <c r="G7" i="1"/>
  <c r="E16" i="2"/>
  <c r="E16" i="1"/>
  <c r="M33" i="1"/>
  <c r="O33" i="1" s="1"/>
  <c r="G8" i="1"/>
  <c r="G9" i="1" s="1"/>
  <c r="E15" i="1"/>
  <c r="M32" i="1" s="1"/>
  <c r="O32" i="1" s="1"/>
  <c r="M33" i="2"/>
  <c r="O33" i="2" s="1"/>
  <c r="M23" i="2"/>
  <c r="O23" i="2"/>
  <c r="M22" i="2"/>
  <c r="O22" i="2" s="1"/>
  <c r="M24" i="2"/>
  <c r="O24" i="2" s="1"/>
  <c r="M20" i="2"/>
  <c r="O20" i="2" s="1"/>
  <c r="E15" i="2"/>
  <c r="M32" i="2"/>
  <c r="O32" i="2" s="1"/>
  <c r="M28" i="1"/>
  <c r="O28" i="1"/>
  <c r="U11" i="1"/>
  <c r="V10" i="1"/>
  <c r="F63" i="2"/>
  <c r="F64" i="2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M30" i="2"/>
  <c r="O30" i="2"/>
  <c r="M29" i="2"/>
  <c r="O29" i="2" s="1"/>
  <c r="M28" i="2"/>
  <c r="O28" i="2"/>
  <c r="M21" i="2"/>
  <c r="O21" i="2" s="1"/>
  <c r="M27" i="2"/>
  <c r="O27" i="2" s="1"/>
  <c r="M26" i="2"/>
  <c r="O26" i="2" s="1"/>
  <c r="M25" i="2"/>
  <c r="O25" i="2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M30" i="1"/>
  <c r="O30" i="1"/>
  <c r="W28" i="1"/>
  <c r="W29" i="1"/>
  <c r="W27" i="1"/>
  <c r="M27" i="1"/>
  <c r="O27" i="1" s="1"/>
  <c r="T23" i="1"/>
  <c r="W23" i="1"/>
  <c r="E7" i="1" s="1"/>
  <c r="M23" i="1" s="1"/>
  <c r="O23" i="1" s="1"/>
  <c r="T24" i="1"/>
  <c r="W24" i="1"/>
  <c r="E8" i="1"/>
  <c r="M24" i="1" s="1"/>
  <c r="O24" i="1" s="1"/>
  <c r="T25" i="1"/>
  <c r="W25" i="1"/>
  <c r="E9" i="1"/>
  <c r="M25" i="1" s="1"/>
  <c r="O25" i="1" s="1"/>
  <c r="T26" i="1"/>
  <c r="W26" i="1"/>
  <c r="E10" i="1" s="1"/>
  <c r="M26" i="1" s="1"/>
  <c r="O26" i="1" s="1"/>
  <c r="T27" i="1"/>
  <c r="T28" i="1"/>
  <c r="T29" i="1"/>
  <c r="T22" i="1"/>
  <c r="T31" i="1" s="1"/>
  <c r="M21" i="1"/>
  <c r="O21" i="1"/>
  <c r="W22" i="1"/>
  <c r="E6" i="1"/>
  <c r="M22" i="1" s="1"/>
  <c r="O22" i="1" s="1"/>
  <c r="M29" i="1"/>
  <c r="O29" i="1" s="1"/>
  <c r="V30" i="1"/>
  <c r="V6" i="1"/>
  <c r="V11" i="1" s="1"/>
  <c r="G8" i="2"/>
  <c r="G10" i="2"/>
  <c r="M20" i="1"/>
  <c r="O20" i="1" s="1"/>
  <c r="V9" i="1"/>
  <c r="V8" i="1"/>
  <c r="V7" i="1"/>
  <c r="O19" i="1"/>
  <c r="E17" i="1"/>
  <c r="E18" i="1"/>
  <c r="G12" i="1" s="1"/>
  <c r="O8" i="2"/>
  <c r="E17" i="2" l="1"/>
  <c r="E18" i="2" s="1"/>
  <c r="G12" i="2" s="1"/>
  <c r="G10" i="1"/>
  <c r="G11" i="1" s="1"/>
  <c r="H11" i="1" s="1"/>
  <c r="M34" i="1"/>
  <c r="T30" i="1"/>
  <c r="O34" i="1"/>
  <c r="U22" i="1"/>
  <c r="T32" i="1"/>
  <c r="U24" i="1" s="1"/>
  <c r="O34" i="2"/>
  <c r="O9" i="2"/>
  <c r="M34" i="2"/>
  <c r="G7" i="2"/>
  <c r="N34" i="1" l="1"/>
  <c r="G16" i="1" s="1"/>
  <c r="G9" i="2"/>
  <c r="G11" i="2" s="1"/>
  <c r="H11" i="2" s="1"/>
  <c r="N34" i="2"/>
  <c r="G16" i="2" s="1"/>
  <c r="G15" i="1"/>
  <c r="G14" i="1"/>
  <c r="U25" i="1"/>
  <c r="U23" i="1"/>
  <c r="U30" i="1" s="1"/>
  <c r="U26" i="1"/>
  <c r="G14" i="2"/>
  <c r="G15" i="2"/>
  <c r="B46" i="1" l="1"/>
  <c r="I16" i="1" s="1"/>
  <c r="B46" i="2"/>
  <c r="I16" i="2" s="1"/>
  <c r="H14" i="1"/>
  <c r="H10" i="1"/>
  <c r="J31" i="1"/>
  <c r="G17" i="1" s="1"/>
  <c r="J31" i="2"/>
  <c r="H10" i="2"/>
  <c r="G17" i="2"/>
  <c r="H14" i="2"/>
</calcChain>
</file>

<file path=xl/sharedStrings.xml><?xml version="1.0" encoding="utf-8"?>
<sst xmlns="http://schemas.openxmlformats.org/spreadsheetml/2006/main" count="197" uniqueCount="104">
  <si>
    <t>Crew</t>
  </si>
  <si>
    <t>Date:</t>
  </si>
  <si>
    <t>A/C Type</t>
  </si>
  <si>
    <t>Gross Wt</t>
  </si>
  <si>
    <t>Survival Gear</t>
  </si>
  <si>
    <t>A/C Number</t>
  </si>
  <si>
    <t>Seat Config.</t>
  </si>
  <si>
    <t>A/C Empty Wt.</t>
  </si>
  <si>
    <t>Crew Weight</t>
  </si>
  <si>
    <t>ZFW</t>
  </si>
  <si>
    <t>B.O.W.</t>
  </si>
  <si>
    <t>Load Left</t>
  </si>
  <si>
    <t xml:space="preserve">Landing Weight </t>
  </si>
  <si>
    <t>Seat weight ea. =</t>
  </si>
  <si>
    <t>Zero Fuel Wt.</t>
  </si>
  <si>
    <t>Ramp Fuel</t>
  </si>
  <si>
    <t>Max Gross T.O.</t>
  </si>
  <si>
    <t>Take Off Wt.</t>
  </si>
  <si>
    <t>Fuel gal.</t>
  </si>
  <si>
    <t>C.G. Range</t>
  </si>
  <si>
    <t>Take Off C.G.</t>
  </si>
  <si>
    <t>Minutes</t>
  </si>
  <si>
    <t>Lbs/nim</t>
  </si>
  <si>
    <t>Item</t>
  </si>
  <si>
    <t>Weight</t>
  </si>
  <si>
    <t>Arm</t>
  </si>
  <si>
    <t>Mom</t>
  </si>
  <si>
    <t>Aircraft</t>
  </si>
  <si>
    <t xml:space="preserve">C.G. Range </t>
  </si>
  <si>
    <t>Wt</t>
  </si>
  <si>
    <t>Fwd Limit</t>
  </si>
  <si>
    <t>Aft Lmt</t>
  </si>
  <si>
    <t>Total --&gt;</t>
  </si>
  <si>
    <t>&lt;--TOTAL Moment</t>
  </si>
  <si>
    <t>Weight Date</t>
  </si>
  <si>
    <t>Ammended Date</t>
  </si>
  <si>
    <t>TransNorthern   Volpar   N404CK</t>
  </si>
  <si>
    <t>Volpar</t>
  </si>
  <si>
    <t>na</t>
  </si>
  <si>
    <t>Floor Loading (max)</t>
  </si>
  <si>
    <t>Wing Compartment</t>
  </si>
  <si>
    <t>Outbd Aux Fuel (2211# full)</t>
  </si>
  <si>
    <t>Main Fuel  (670# full)</t>
  </si>
  <si>
    <t>Comp 1  (624#)</t>
  </si>
  <si>
    <t>Comp 2  (761#)</t>
  </si>
  <si>
    <t>Comp 3  (800#)</t>
  </si>
  <si>
    <t>Comp 4  (787#)</t>
  </si>
  <si>
    <t>Comp 5  (360#)</t>
  </si>
  <si>
    <t>Comp 6  (354#)</t>
  </si>
  <si>
    <t>Comp 7  (363#)</t>
  </si>
  <si>
    <t>% by Volume</t>
  </si>
  <si>
    <t>Compartment</t>
  </si>
  <si>
    <t>Adjusted</t>
  </si>
  <si>
    <t xml:space="preserve">Survival Gear </t>
  </si>
  <si>
    <t>N404CK</t>
  </si>
  <si>
    <t>Empty WT</t>
  </si>
  <si>
    <t>Empty C.G.</t>
  </si>
  <si>
    <t xml:space="preserve"> max fuel = 443 gal = 2,971 lbs</t>
  </si>
  <si>
    <t>Fwd</t>
  </si>
  <si>
    <t>Aft</t>
  </si>
  <si>
    <t>dist</t>
  </si>
  <si>
    <t>calc %</t>
  </si>
  <si>
    <t>Calc Fctr</t>
  </si>
  <si>
    <t>Main Fuel    670# max</t>
  </si>
  <si>
    <t>Outbd Aux Fuel 2211# max</t>
  </si>
  <si>
    <t>Empty Mom</t>
  </si>
  <si>
    <t>10,500 Max</t>
  </si>
  <si>
    <t>Shelf  (200#)</t>
  </si>
  <si>
    <t>Max Landing Fuel Burn Calc</t>
  </si>
  <si>
    <t>Initial Fuel Burn Rate</t>
  </si>
  <si>
    <t>Cabin Lentgh in Ft.</t>
  </si>
  <si>
    <t>"Wing" or "Shelf"</t>
  </si>
  <si>
    <t>Wing</t>
  </si>
  <si>
    <t>Freighter</t>
  </si>
  <si>
    <t>193# / sq.ft.</t>
  </si>
  <si>
    <t>Total Fuel Weight --&gt;</t>
  </si>
  <si>
    <t>Courier Seat Not Inst.</t>
  </si>
  <si>
    <t>A/C Pay Load</t>
  </si>
  <si>
    <t>Comp 1  (624# max)</t>
  </si>
  <si>
    <t>Comp 2  (761# max)</t>
  </si>
  <si>
    <t>Comp 3  (800# max)</t>
  </si>
  <si>
    <t>Comp 4  (787# max)</t>
  </si>
  <si>
    <t>Comp 5  (360# max)</t>
  </si>
  <si>
    <t>Comp 6  (354# max)</t>
  </si>
  <si>
    <t>Comp 7  (363# max)</t>
  </si>
  <si>
    <t>Shelf  (200# max)</t>
  </si>
  <si>
    <t>Fly before Landing -&gt;</t>
  </si>
  <si>
    <t>- 117.0</t>
  </si>
  <si>
    <t>Included in Empty Wt</t>
  </si>
  <si>
    <t>Tailstand = 12#</t>
  </si>
  <si>
    <t>Cargo Nets = 22#</t>
  </si>
  <si>
    <t>C.G</t>
  </si>
  <si>
    <t>Even Distb 1-5</t>
  </si>
  <si>
    <t>&lt;- Distribution Distance</t>
  </si>
  <si>
    <t>Adjusted means try to but the heavy stuff in 2&amp;3</t>
  </si>
  <si>
    <t>n/a</t>
  </si>
  <si>
    <t>Loading ladder = 11#</t>
  </si>
  <si>
    <t>Survival Gear Included in wt</t>
  </si>
  <si>
    <t>Shelf</t>
  </si>
  <si>
    <t>S/Gear Drop Down List</t>
  </si>
  <si>
    <t>Comp 8 (aft shelf) (200#)</t>
  </si>
  <si>
    <t>S/Gear @ 20# last wt.</t>
  </si>
  <si>
    <r>
      <rPr>
        <sz val="11"/>
        <color rgb="FF000000"/>
        <rFont val="Comic Sans MS"/>
        <family val="4"/>
      </rPr>
      <t xml:space="preserve">NOTE:  Only change </t>
    </r>
    <r>
      <rPr>
        <b/>
        <u/>
        <sz val="11"/>
        <color rgb="FF92D050"/>
        <rFont val="Comic Sans MS"/>
        <family val="4"/>
      </rPr>
      <t>GREEN</t>
    </r>
    <r>
      <rPr>
        <sz val="11"/>
        <color rgb="FF000000"/>
        <rFont val="Comic Sans MS"/>
        <family val="4"/>
      </rPr>
      <t xml:space="preserve"> Cells.  Cells in</t>
    </r>
    <r>
      <rPr>
        <sz val="11"/>
        <color rgb="FF00B0F0"/>
        <rFont val="Comic Sans MS"/>
        <family val="4"/>
      </rPr>
      <t xml:space="preserve"> </t>
    </r>
    <r>
      <rPr>
        <b/>
        <u/>
        <sz val="11"/>
        <color rgb="FF00B0F0"/>
        <rFont val="Comic Sans MS"/>
        <family val="4"/>
      </rPr>
      <t>BLUE</t>
    </r>
    <r>
      <rPr>
        <sz val="11"/>
        <color rgb="FF000000"/>
        <rFont val="Comic Sans MS"/>
        <family val="4"/>
      </rPr>
      <t xml:space="preserve"> are calculated</t>
    </r>
  </si>
  <si>
    <r>
      <t xml:space="preserve">NOTE:  Only change </t>
    </r>
    <r>
      <rPr>
        <b/>
        <u/>
        <sz val="11"/>
        <color rgb="FF92D050"/>
        <rFont val="Comic Sans MS"/>
        <family val="4"/>
      </rPr>
      <t>GREEN</t>
    </r>
    <r>
      <rPr>
        <sz val="11"/>
        <color rgb="FF000000"/>
        <rFont val="Comic Sans MS"/>
        <family val="4"/>
      </rPr>
      <t xml:space="preserve"> Cells.  Cells in</t>
    </r>
    <r>
      <rPr>
        <sz val="11"/>
        <color rgb="FF00B0F0"/>
        <rFont val="Comic Sans MS"/>
        <family val="4"/>
      </rPr>
      <t xml:space="preserve"> </t>
    </r>
    <r>
      <rPr>
        <b/>
        <u/>
        <sz val="11"/>
        <color rgb="FF00B0F0"/>
        <rFont val="Comic Sans MS"/>
        <family val="4"/>
      </rPr>
      <t>BLUE</t>
    </r>
    <r>
      <rPr>
        <sz val="11"/>
        <color rgb="FF000000"/>
        <rFont val="Comic Sans MS"/>
        <family val="4"/>
      </rPr>
      <t xml:space="preserve"> are calculated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</si>
</sst>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000"/>
    <numFmt numFmtId="167" formatCode="#,##0.000"/>
    <numFmt numFmtId="168" formatCode="mmm\ yyyy"/>
  </numFmts>
  <fonts count="41" x14ac:knownFonts="1">
    <font>
      <sz val="10"/>
      <name val="Tahoma"/>
    </font>
    <font>
      <sz val="10"/>
      <color indexed="8"/>
      <name val="MS Sans Serif"/>
      <family val="2"/>
    </font>
    <font>
      <sz val="10"/>
      <color indexed="8"/>
      <name val="Comic Sans MS"/>
      <family val="4"/>
    </font>
    <font>
      <b/>
      <sz val="16"/>
      <color indexed="8"/>
      <name val="Comic Sans MS"/>
      <family val="4"/>
    </font>
    <font>
      <b/>
      <sz val="12"/>
      <color indexed="8"/>
      <name val="Comic Sans MS"/>
      <family val="4"/>
    </font>
    <font>
      <sz val="12"/>
      <color indexed="8"/>
      <name val="Comic Sans MS"/>
      <family val="4"/>
    </font>
    <font>
      <b/>
      <sz val="14"/>
      <color indexed="8"/>
      <name val="Comic Sans MS"/>
      <family val="4"/>
    </font>
    <font>
      <sz val="14"/>
      <color indexed="8"/>
      <name val="MS Sans Serif"/>
      <family val="2"/>
    </font>
    <font>
      <b/>
      <sz val="10"/>
      <color indexed="8"/>
      <name val="Comic Sans MS"/>
      <family val="4"/>
    </font>
    <font>
      <b/>
      <sz val="8"/>
      <color indexed="8"/>
      <name val="Comic Sans MS"/>
      <family val="4"/>
    </font>
    <font>
      <b/>
      <i/>
      <sz val="12"/>
      <color indexed="8"/>
      <name val="Comic Sans MS"/>
      <family val="4"/>
    </font>
    <font>
      <b/>
      <sz val="8"/>
      <color indexed="8"/>
      <name val="Comic Sans MS"/>
      <family val="4"/>
    </font>
    <font>
      <b/>
      <sz val="10"/>
      <color indexed="8"/>
      <name val="Comic Sans MS"/>
      <family val="4"/>
    </font>
    <font>
      <b/>
      <sz val="9"/>
      <color indexed="8"/>
      <name val="Comic Sans MS"/>
      <family val="4"/>
    </font>
    <font>
      <sz val="8"/>
      <color indexed="8"/>
      <name val="Comic Sans MS"/>
      <family val="4"/>
    </font>
    <font>
      <sz val="9"/>
      <color indexed="8"/>
      <name val="Comic Sans MS"/>
      <family val="4"/>
    </font>
    <font>
      <sz val="10"/>
      <color indexed="8"/>
      <name val="Comic Sans MS"/>
      <family val="4"/>
    </font>
    <font>
      <sz val="10"/>
      <color indexed="8"/>
      <name val="MS Sans Serif"/>
      <family val="2"/>
    </font>
    <font>
      <b/>
      <i/>
      <sz val="8.5"/>
      <color indexed="8"/>
      <name val="MS Sans Serif"/>
      <family val="2"/>
    </font>
    <font>
      <b/>
      <sz val="8.5"/>
      <color indexed="8"/>
      <name val="MS Sans Serif"/>
      <family val="2"/>
    </font>
    <font>
      <b/>
      <sz val="10"/>
      <color indexed="8"/>
      <name val="MS Sans Serif"/>
      <family val="2"/>
    </font>
    <font>
      <sz val="8.5"/>
      <color indexed="8"/>
      <name val="MS Sans Serif"/>
      <family val="2"/>
    </font>
    <font>
      <b/>
      <sz val="12"/>
      <color indexed="8"/>
      <name val="Comic Sans MS"/>
      <family val="4"/>
    </font>
    <font>
      <i/>
      <sz val="10"/>
      <color indexed="8"/>
      <name val="MS Sans Serif"/>
      <family val="2"/>
    </font>
    <font>
      <b/>
      <sz val="9"/>
      <color indexed="8"/>
      <name val="Comic Sans MS"/>
      <family val="4"/>
    </font>
    <font>
      <b/>
      <sz val="10"/>
      <color indexed="12"/>
      <name val="Comic Sans MS"/>
      <family val="4"/>
    </font>
    <font>
      <b/>
      <sz val="9"/>
      <color indexed="8"/>
      <name val="MS Sans Serif"/>
      <family val="2"/>
    </font>
    <font>
      <sz val="8"/>
      <name val="Tahoma"/>
      <family val="2"/>
    </font>
    <font>
      <i/>
      <sz val="8"/>
      <color indexed="8"/>
      <name val="Comic Sans MS"/>
      <family val="4"/>
    </font>
    <font>
      <b/>
      <i/>
      <sz val="10"/>
      <color indexed="8"/>
      <name val="Comic Sans MS"/>
      <family val="4"/>
    </font>
    <font>
      <b/>
      <sz val="10"/>
      <name val="Tahoma"/>
      <family val="2"/>
    </font>
    <font>
      <b/>
      <sz val="11"/>
      <color indexed="8"/>
      <name val="Comic Sans MS"/>
      <family val="4"/>
    </font>
    <font>
      <sz val="11"/>
      <name val="Tahoma"/>
      <family val="2"/>
    </font>
    <font>
      <i/>
      <sz val="9"/>
      <color indexed="8"/>
      <name val="Comic Sans MS"/>
      <family val="4"/>
    </font>
    <font>
      <sz val="8"/>
      <name val="Tahoma"/>
      <family val="2"/>
    </font>
    <font>
      <sz val="9"/>
      <name val="Tahoma"/>
      <family val="2"/>
    </font>
    <font>
      <sz val="11"/>
      <color rgb="FF000000"/>
      <name val="Comic Sans MS"/>
      <family val="4"/>
    </font>
    <font>
      <sz val="11"/>
      <color indexed="8"/>
      <name val="Comic Sans MS"/>
      <family val="4"/>
    </font>
    <font>
      <sz val="11"/>
      <color rgb="FF00B0F0"/>
      <name val="Comic Sans MS"/>
      <family val="4"/>
    </font>
    <font>
      <b/>
      <u/>
      <sz val="11"/>
      <color rgb="FF92D050"/>
      <name val="Comic Sans MS"/>
      <family val="4"/>
    </font>
    <font>
      <b/>
      <u/>
      <sz val="11"/>
      <color rgb="FF00B0F0"/>
      <name val="Comic Sans MS"/>
      <family val="4"/>
    </font>
  </fonts>
  <fills count="1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17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1" fillId="0" borderId="2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/>
    </xf>
    <xf numFmtId="3" fontId="16" fillId="2" borderId="2" xfId="0" applyNumberFormat="1" applyFont="1" applyFill="1" applyBorder="1" applyAlignment="1">
      <alignment horizontal="center"/>
    </xf>
    <xf numFmtId="2" fontId="16" fillId="2" borderId="2" xfId="0" applyNumberFormat="1" applyFont="1" applyFill="1" applyBorder="1" applyAlignment="1">
      <alignment horizontal="center"/>
    </xf>
    <xf numFmtId="2" fontId="15" fillId="2" borderId="2" xfId="0" applyNumberFormat="1" applyFont="1" applyFill="1" applyBorder="1" applyAlignment="1">
      <alignment horizontal="center"/>
    </xf>
    <xf numFmtId="3" fontId="16" fillId="0" borderId="2" xfId="0" applyNumberFormat="1" applyFont="1" applyBorder="1" applyAlignment="1">
      <alignment horizontal="center"/>
    </xf>
    <xf numFmtId="2" fontId="16" fillId="0" borderId="2" xfId="0" applyNumberFormat="1" applyFont="1" applyBorder="1" applyAlignment="1">
      <alignment horizontal="center"/>
    </xf>
    <xf numFmtId="2" fontId="15" fillId="0" borderId="2" xfId="0" applyNumberFormat="1" applyFont="1" applyBorder="1" applyAlignment="1">
      <alignment horizontal="center"/>
    </xf>
    <xf numFmtId="0" fontId="19" fillId="0" borderId="0" xfId="0" applyFont="1"/>
    <xf numFmtId="0" fontId="23" fillId="0" borderId="0" xfId="0" applyFont="1"/>
    <xf numFmtId="2" fontId="16" fillId="3" borderId="2" xfId="0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 applyAlignment="1">
      <alignment horizontal="right"/>
    </xf>
    <xf numFmtId="3" fontId="19" fillId="0" borderId="2" xfId="0" applyNumberFormat="1" applyFont="1" applyBorder="1"/>
    <xf numFmtId="165" fontId="26" fillId="0" borderId="2" xfId="0" applyNumberFormat="1" applyFont="1" applyBorder="1"/>
    <xf numFmtId="167" fontId="26" fillId="0" borderId="2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5" fillId="0" borderId="0" xfId="0" applyFont="1"/>
    <xf numFmtId="0" fontId="13" fillId="0" borderId="0" xfId="0" applyFont="1" applyAlignment="1">
      <alignment horizontal="left"/>
    </xf>
    <xf numFmtId="3" fontId="17" fillId="0" borderId="0" xfId="0" applyNumberFormat="1" applyFont="1"/>
    <xf numFmtId="3" fontId="1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7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17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17" fillId="0" borderId="1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5" fontId="17" fillId="5" borderId="2" xfId="0" applyNumberFormat="1" applyFont="1" applyFill="1" applyBorder="1" applyAlignment="1">
      <alignment horizontal="right"/>
    </xf>
    <xf numFmtId="4" fontId="17" fillId="5" borderId="2" xfId="0" applyNumberFormat="1" applyFont="1" applyFill="1" applyBorder="1" applyAlignment="1">
      <alignment horizontal="center"/>
    </xf>
    <xf numFmtId="3" fontId="17" fillId="5" borderId="2" xfId="0" applyNumberFormat="1" applyFont="1" applyFill="1" applyBorder="1"/>
    <xf numFmtId="4" fontId="1" fillId="5" borderId="2" xfId="0" applyNumberFormat="1" applyFont="1" applyFill="1" applyBorder="1" applyAlignment="1">
      <alignment horizontal="center"/>
    </xf>
    <xf numFmtId="2" fontId="17" fillId="5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1" fillId="0" borderId="0" xfId="0" applyFont="1" applyAlignment="1">
      <alignment horizontal="right"/>
    </xf>
    <xf numFmtId="166" fontId="2" fillId="0" borderId="0" xfId="0" applyNumberFormat="1" applyFont="1" applyAlignment="1">
      <alignment horizontal="center"/>
    </xf>
    <xf numFmtId="0" fontId="2" fillId="6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1" fillId="0" borderId="16" xfId="0" applyFont="1" applyBorder="1"/>
    <xf numFmtId="0" fontId="2" fillId="0" borderId="17" xfId="0" applyFont="1" applyBorder="1" applyAlignment="1">
      <alignment horizontal="center"/>
    </xf>
    <xf numFmtId="0" fontId="8" fillId="7" borderId="2" xfId="0" applyFont="1" applyFill="1" applyBorder="1" applyAlignment="1" applyProtection="1">
      <alignment horizontal="center"/>
      <protection locked="0"/>
    </xf>
    <xf numFmtId="0" fontId="8" fillId="7" borderId="18" xfId="0" applyFont="1" applyFill="1" applyBorder="1" applyAlignment="1" applyProtection="1">
      <alignment horizontal="center"/>
      <protection locked="0"/>
    </xf>
    <xf numFmtId="3" fontId="8" fillId="7" borderId="2" xfId="0" applyNumberFormat="1" applyFont="1" applyFill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right" vertical="center"/>
    </xf>
    <xf numFmtId="0" fontId="8" fillId="8" borderId="2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3" fontId="8" fillId="10" borderId="19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right"/>
    </xf>
    <xf numFmtId="3" fontId="8" fillId="5" borderId="19" xfId="0" applyNumberFormat="1" applyFont="1" applyFill="1" applyBorder="1" applyAlignment="1">
      <alignment horizontal="center"/>
    </xf>
    <xf numFmtId="0" fontId="8" fillId="0" borderId="19" xfId="0" applyFont="1" applyBorder="1" applyAlignment="1">
      <alignment horizontal="right"/>
    </xf>
    <xf numFmtId="0" fontId="29" fillId="0" borderId="17" xfId="0" applyFont="1" applyBorder="1" applyAlignment="1">
      <alignment horizontal="left"/>
    </xf>
    <xf numFmtId="0" fontId="8" fillId="0" borderId="24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8" fillId="0" borderId="26" xfId="0" applyFont="1" applyBorder="1" applyAlignment="1">
      <alignment horizontal="right"/>
    </xf>
    <xf numFmtId="0" fontId="8" fillId="4" borderId="27" xfId="0" applyFont="1" applyFill="1" applyBorder="1" applyAlignment="1">
      <alignment horizontal="right"/>
    </xf>
    <xf numFmtId="3" fontId="8" fillId="4" borderId="28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13" xfId="0" applyFont="1" applyBorder="1" applyAlignment="1">
      <alignment horizontal="right"/>
    </xf>
    <xf numFmtId="0" fontId="8" fillId="4" borderId="29" xfId="0" applyFont="1" applyFill="1" applyBorder="1" applyAlignment="1">
      <alignment horizontal="right"/>
    </xf>
    <xf numFmtId="3" fontId="8" fillId="4" borderId="30" xfId="0" applyNumberFormat="1" applyFont="1" applyFill="1" applyBorder="1" applyAlignment="1">
      <alignment horizontal="center"/>
    </xf>
    <xf numFmtId="0" fontId="12" fillId="4" borderId="30" xfId="0" applyFont="1" applyFill="1" applyBorder="1" applyAlignment="1">
      <alignment horizontal="left" vertical="center"/>
    </xf>
    <xf numFmtId="0" fontId="1" fillId="4" borderId="31" xfId="0" applyFont="1" applyFill="1" applyBorder="1" applyAlignment="1">
      <alignment horizontal="left" vertical="center"/>
    </xf>
    <xf numFmtId="0" fontId="9" fillId="0" borderId="32" xfId="0" applyFont="1" applyBorder="1" applyAlignment="1">
      <alignment horizontal="right"/>
    </xf>
    <xf numFmtId="0" fontId="8" fillId="4" borderId="18" xfId="0" applyFont="1" applyFill="1" applyBorder="1" applyAlignment="1">
      <alignment horizontal="right"/>
    </xf>
    <xf numFmtId="164" fontId="8" fillId="4" borderId="32" xfId="0" applyNumberFormat="1" applyFont="1" applyFill="1" applyBorder="1" applyAlignment="1">
      <alignment horizontal="right" vertical="center"/>
    </xf>
    <xf numFmtId="164" fontId="8" fillId="4" borderId="25" xfId="0" quotePrefix="1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4" borderId="2" xfId="0" applyFont="1" applyFill="1" applyBorder="1" applyAlignment="1">
      <alignment horizontal="right"/>
    </xf>
    <xf numFmtId="0" fontId="9" fillId="0" borderId="2" xfId="0" applyFont="1" applyBorder="1" applyAlignment="1">
      <alignment horizontal="right"/>
    </xf>
    <xf numFmtId="3" fontId="2" fillId="8" borderId="0" xfId="0" applyNumberFormat="1" applyFont="1" applyFill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3" fontId="25" fillId="0" borderId="28" xfId="0" applyNumberFormat="1" applyFont="1" applyBorder="1" applyAlignment="1">
      <alignment horizontal="center"/>
    </xf>
    <xf numFmtId="0" fontId="12" fillId="0" borderId="27" xfId="0" applyFont="1" applyBorder="1" applyAlignment="1">
      <alignment horizontal="left"/>
    </xf>
    <xf numFmtId="0" fontId="2" fillId="0" borderId="28" xfId="0" applyFont="1" applyBorder="1" applyAlignment="1">
      <alignment horizontal="center"/>
    </xf>
    <xf numFmtId="165" fontId="8" fillId="10" borderId="2" xfId="0" applyNumberFormat="1" applyFont="1" applyFill="1" applyBorder="1" applyAlignment="1">
      <alignment horizontal="center"/>
    </xf>
    <xf numFmtId="2" fontId="24" fillId="7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0" fontId="9" fillId="0" borderId="2" xfId="0" applyFont="1" applyBorder="1" applyAlignment="1">
      <alignment horizontal="right" wrapText="1"/>
    </xf>
    <xf numFmtId="2" fontId="24" fillId="9" borderId="2" xfId="0" applyNumberFormat="1" applyFont="1" applyFill="1" applyBorder="1" applyAlignment="1">
      <alignment horizontal="center"/>
    </xf>
    <xf numFmtId="0" fontId="8" fillId="0" borderId="27" xfId="0" applyFont="1" applyBorder="1" applyAlignment="1">
      <alignment horizontal="right"/>
    </xf>
    <xf numFmtId="3" fontId="8" fillId="0" borderId="28" xfId="0" applyNumberFormat="1" applyFont="1" applyBorder="1" applyAlignment="1">
      <alignment horizontal="center"/>
    </xf>
    <xf numFmtId="0" fontId="29" fillId="11" borderId="17" xfId="0" applyFont="1" applyFill="1" applyBorder="1" applyAlignment="1">
      <alignment horizontal="left"/>
    </xf>
    <xf numFmtId="0" fontId="33" fillId="0" borderId="0" xfId="0" applyFont="1" applyAlignment="1">
      <alignment horizontal="center"/>
    </xf>
    <xf numFmtId="0" fontId="8" fillId="4" borderId="35" xfId="0" applyFont="1" applyFill="1" applyBorder="1" applyAlignment="1">
      <alignment horizontal="right"/>
    </xf>
    <xf numFmtId="3" fontId="8" fillId="4" borderId="36" xfId="0" applyNumberFormat="1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3" fontId="33" fillId="0" borderId="37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8" fillId="12" borderId="20" xfId="0" applyFont="1" applyFill="1" applyBorder="1" applyAlignment="1">
      <alignment horizontal="right"/>
    </xf>
    <xf numFmtId="164" fontId="1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3" fontId="25" fillId="0" borderId="28" xfId="0" applyNumberFormat="1" applyFont="1" applyBorder="1" applyAlignment="1">
      <alignment horizontal="right"/>
    </xf>
    <xf numFmtId="1" fontId="8" fillId="13" borderId="38" xfId="0" applyNumberFormat="1" applyFont="1" applyFill="1" applyBorder="1" applyAlignment="1" applyProtection="1">
      <alignment horizontal="center"/>
      <protection locked="0"/>
    </xf>
    <xf numFmtId="0" fontId="8" fillId="13" borderId="39" xfId="0" applyFont="1" applyFill="1" applyBorder="1" applyAlignment="1" applyProtection="1">
      <alignment horizontal="center"/>
      <protection locked="0"/>
    </xf>
    <xf numFmtId="0" fontId="8" fillId="13" borderId="18" xfId="0" applyFont="1" applyFill="1" applyBorder="1" applyAlignment="1" applyProtection="1">
      <alignment horizontal="center"/>
      <protection locked="0"/>
    </xf>
    <xf numFmtId="3" fontId="8" fillId="13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164" fontId="2" fillId="14" borderId="2" xfId="0" applyNumberFormat="1" applyFont="1" applyFill="1" applyBorder="1" applyAlignment="1">
      <alignment horizontal="center"/>
    </xf>
    <xf numFmtId="0" fontId="2" fillId="14" borderId="12" xfId="0" applyFont="1" applyFill="1" applyBorder="1" applyAlignment="1">
      <alignment horizontal="center"/>
    </xf>
    <xf numFmtId="164" fontId="2" fillId="14" borderId="14" xfId="0" applyNumberFormat="1" applyFont="1" applyFill="1" applyBorder="1" applyAlignment="1">
      <alignment horizontal="center"/>
    </xf>
    <xf numFmtId="0" fontId="2" fillId="14" borderId="40" xfId="0" applyFont="1" applyFill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12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3" fontId="8" fillId="10" borderId="28" xfId="0" applyNumberFormat="1" applyFont="1" applyFill="1" applyBorder="1" applyAlignment="1">
      <alignment horizontal="center"/>
    </xf>
    <xf numFmtId="3" fontId="8" fillId="10" borderId="32" xfId="0" applyNumberFormat="1" applyFont="1" applyFill="1" applyBorder="1" applyAlignment="1">
      <alignment horizontal="center"/>
    </xf>
    <xf numFmtId="3" fontId="8" fillId="5" borderId="41" xfId="0" applyNumberFormat="1" applyFont="1" applyFill="1" applyBorder="1" applyAlignment="1">
      <alignment horizontal="center"/>
    </xf>
    <xf numFmtId="0" fontId="8" fillId="0" borderId="43" xfId="0" applyFont="1" applyBorder="1" applyAlignment="1">
      <alignment horizontal="right"/>
    </xf>
    <xf numFmtId="1" fontId="8" fillId="13" borderId="44" xfId="0" applyNumberFormat="1" applyFont="1" applyFill="1" applyBorder="1" applyAlignment="1" applyProtection="1">
      <alignment horizontal="center"/>
      <protection locked="0"/>
    </xf>
    <xf numFmtId="0" fontId="8" fillId="11" borderId="23" xfId="0" applyFont="1" applyFill="1" applyBorder="1" applyAlignment="1">
      <alignment horizontal="right"/>
    </xf>
    <xf numFmtId="0" fontId="8" fillId="11" borderId="45" xfId="0" applyFont="1" applyFill="1" applyBorder="1" applyAlignment="1">
      <alignment horizontal="right"/>
    </xf>
    <xf numFmtId="0" fontId="8" fillId="0" borderId="46" xfId="0" applyFont="1" applyBorder="1" applyAlignment="1">
      <alignment horizontal="right"/>
    </xf>
    <xf numFmtId="0" fontId="12" fillId="0" borderId="46" xfId="0" applyFont="1" applyBorder="1" applyAlignment="1">
      <alignment horizontal="right"/>
    </xf>
    <xf numFmtId="0" fontId="8" fillId="12" borderId="21" xfId="0" applyFont="1" applyFill="1" applyBorder="1" applyAlignment="1">
      <alignment horizontal="right"/>
    </xf>
    <xf numFmtId="1" fontId="8" fillId="15" borderId="47" xfId="0" applyNumberFormat="1" applyFont="1" applyFill="1" applyBorder="1" applyAlignment="1">
      <alignment horizontal="center"/>
    </xf>
    <xf numFmtId="0" fontId="8" fillId="8" borderId="20" xfId="0" applyFont="1" applyFill="1" applyBorder="1" applyAlignment="1">
      <alignment horizontal="center"/>
    </xf>
    <xf numFmtId="1" fontId="8" fillId="13" borderId="18" xfId="0" applyNumberFormat="1" applyFont="1" applyFill="1" applyBorder="1" applyAlignment="1" applyProtection="1">
      <alignment horizontal="center"/>
      <protection locked="0"/>
    </xf>
    <xf numFmtId="1" fontId="8" fillId="15" borderId="48" xfId="0" applyNumberFormat="1" applyFont="1" applyFill="1" applyBorder="1" applyAlignment="1">
      <alignment horizontal="center"/>
    </xf>
    <xf numFmtId="1" fontId="8" fillId="15" borderId="49" xfId="0" applyNumberFormat="1" applyFont="1" applyFill="1" applyBorder="1" applyAlignment="1">
      <alignment horizontal="center"/>
    </xf>
    <xf numFmtId="0" fontId="8" fillId="0" borderId="50" xfId="0" applyFont="1" applyBorder="1" applyAlignment="1">
      <alignment horizontal="right"/>
    </xf>
    <xf numFmtId="0" fontId="8" fillId="7" borderId="6" xfId="0" applyFont="1" applyFill="1" applyBorder="1" applyAlignment="1" applyProtection="1">
      <alignment horizontal="center"/>
      <protection locked="0"/>
    </xf>
    <xf numFmtId="1" fontId="8" fillId="7" borderId="51" xfId="0" applyNumberFormat="1" applyFont="1" applyFill="1" applyBorder="1" applyAlignment="1" applyProtection="1">
      <alignment horizontal="center"/>
      <protection locked="0"/>
    </xf>
    <xf numFmtId="1" fontId="8" fillId="7" borderId="52" xfId="0" applyNumberFormat="1" applyFont="1" applyFill="1" applyBorder="1" applyAlignment="1" applyProtection="1">
      <alignment horizontal="center"/>
      <protection locked="0"/>
    </xf>
    <xf numFmtId="1" fontId="8" fillId="7" borderId="53" xfId="0" applyNumberFormat="1" applyFont="1" applyFill="1" applyBorder="1" applyAlignment="1" applyProtection="1">
      <alignment horizontal="center"/>
      <protection locked="0"/>
    </xf>
    <xf numFmtId="0" fontId="8" fillId="8" borderId="27" xfId="0" applyFont="1" applyFill="1" applyBorder="1" applyAlignment="1">
      <alignment horizontal="center"/>
    </xf>
    <xf numFmtId="1" fontId="8" fillId="7" borderId="25" xfId="0" applyNumberFormat="1" applyFont="1" applyFill="1" applyBorder="1" applyAlignment="1" applyProtection="1">
      <alignment horizontal="center"/>
      <protection locked="0"/>
    </xf>
    <xf numFmtId="1" fontId="8" fillId="7" borderId="41" xfId="0" applyNumberFormat="1" applyFont="1" applyFill="1" applyBorder="1" applyAlignment="1" applyProtection="1">
      <alignment horizontal="center"/>
      <protection locked="0"/>
    </xf>
    <xf numFmtId="0" fontId="33" fillId="0" borderId="20" xfId="0" applyFont="1" applyBorder="1" applyAlignment="1">
      <alignment horizontal="center"/>
    </xf>
    <xf numFmtId="0" fontId="33" fillId="0" borderId="37" xfId="0" applyFont="1" applyBorder="1" applyAlignment="1">
      <alignment horizontal="center"/>
    </xf>
    <xf numFmtId="2" fontId="8" fillId="4" borderId="19" xfId="0" applyNumberFormat="1" applyFont="1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12" fillId="10" borderId="28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3" fontId="8" fillId="5" borderId="6" xfId="0" applyNumberFormat="1" applyFont="1" applyFill="1" applyBorder="1" applyAlignment="1">
      <alignment horizontal="center"/>
    </xf>
    <xf numFmtId="0" fontId="30" fillId="0" borderId="54" xfId="0" applyFont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8" fontId="8" fillId="11" borderId="34" xfId="0" applyNumberFormat="1" applyFont="1" applyFill="1" applyBorder="1" applyAlignment="1">
      <alignment horizontal="center"/>
    </xf>
    <xf numFmtId="0" fontId="0" fillId="0" borderId="56" xfId="0" applyBorder="1" applyAlignment="1">
      <alignment horizontal="center"/>
    </xf>
    <xf numFmtId="0" fontId="2" fillId="0" borderId="34" xfId="0" applyFont="1" applyBorder="1" applyAlignment="1">
      <alignment horizontal="center"/>
    </xf>
    <xf numFmtId="168" fontId="8" fillId="11" borderId="5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31" fillId="4" borderId="19" xfId="0" applyFont="1" applyFill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2" fillId="0" borderId="19" xfId="0" applyFont="1" applyBorder="1" applyAlignment="1">
      <alignment horizontal="right"/>
    </xf>
    <xf numFmtId="0" fontId="0" fillId="0" borderId="46" xfId="0" applyBorder="1"/>
    <xf numFmtId="3" fontId="2" fillId="0" borderId="19" xfId="0" applyNumberFormat="1" applyFont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0" fillId="7" borderId="46" xfId="0" applyFill="1" applyBorder="1" applyAlignment="1">
      <alignment horizontal="center"/>
    </xf>
    <xf numFmtId="0" fontId="0" fillId="0" borderId="46" xfId="0" applyBorder="1" applyAlignment="1">
      <alignment horizontal="right"/>
    </xf>
    <xf numFmtId="14" fontId="2" fillId="0" borderId="19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0" fillId="0" borderId="25" xfId="0" applyBorder="1"/>
    <xf numFmtId="3" fontId="8" fillId="5" borderId="57" xfId="0" applyNumberFormat="1" applyFont="1" applyFill="1" applyBorder="1" applyAlignment="1">
      <alignment horizontal="center"/>
    </xf>
    <xf numFmtId="14" fontId="2" fillId="12" borderId="19" xfId="0" applyNumberFormat="1" applyFont="1" applyFill="1" applyBorder="1" applyAlignment="1">
      <alignment horizontal="center"/>
    </xf>
    <xf numFmtId="0" fontId="0" fillId="12" borderId="46" xfId="0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7" fillId="0" borderId="58" xfId="0" applyFont="1" applyFill="1" applyBorder="1" applyAlignment="1">
      <alignment horizontal="center" vertical="center"/>
    </xf>
    <xf numFmtId="0" fontId="32" fillId="0" borderId="59" xfId="0" applyFont="1" applyFill="1" applyBorder="1" applyAlignment="1">
      <alignment horizontal="center"/>
    </xf>
    <xf numFmtId="0" fontId="32" fillId="0" borderId="60" xfId="0" applyFont="1" applyFill="1" applyBorder="1" applyAlignment="1">
      <alignment horizontal="center"/>
    </xf>
    <xf numFmtId="0" fontId="32" fillId="0" borderId="61" xfId="0" applyFont="1" applyFill="1" applyBorder="1" applyAlignment="1">
      <alignment horizontal="center"/>
    </xf>
    <xf numFmtId="0" fontId="32" fillId="0" borderId="62" xfId="0" applyFont="1" applyFill="1" applyBorder="1" applyAlignment="1">
      <alignment horizontal="center"/>
    </xf>
    <xf numFmtId="0" fontId="32" fillId="0" borderId="63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right"/>
    </xf>
    <xf numFmtId="0" fontId="2" fillId="0" borderId="64" xfId="0" applyFont="1" applyFill="1" applyBorder="1" applyAlignment="1">
      <alignment horizontal="center"/>
    </xf>
    <xf numFmtId="0" fontId="2" fillId="11" borderId="65" xfId="0" applyFont="1" applyFill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7" borderId="42" xfId="0" applyFont="1" applyFill="1" applyBorder="1" applyAlignment="1" applyProtection="1">
      <alignment horizontal="center"/>
      <protection locked="0"/>
    </xf>
    <xf numFmtId="0" fontId="2" fillId="0" borderId="67" xfId="0" applyFont="1" applyBorder="1" applyAlignment="1">
      <alignment horizontal="center"/>
    </xf>
    <xf numFmtId="3" fontId="8" fillId="13" borderId="42" xfId="0" applyNumberFormat="1" applyFont="1" applyFill="1" applyBorder="1" applyAlignment="1" applyProtection="1">
      <alignment horizontal="center"/>
      <protection locked="0"/>
    </xf>
    <xf numFmtId="3" fontId="29" fillId="9" borderId="1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4BF8-C37B-4538-B784-4C164A13AFA2}">
  <sheetPr>
    <pageSetUpPr fitToPage="1"/>
  </sheetPr>
  <dimension ref="B1:W78"/>
  <sheetViews>
    <sheetView showGridLines="0" tabSelected="1" zoomScaleNormal="100" workbookViewId="0">
      <selection activeCell="O10" sqref="O10:P10"/>
    </sheetView>
  </sheetViews>
  <sheetFormatPr defaultColWidth="10" defaultRowHeight="15" x14ac:dyDescent="0.3"/>
  <cols>
    <col min="1" max="1" width="2.42578125" style="1" customWidth="1"/>
    <col min="2" max="2" width="20.140625" style="1" customWidth="1"/>
    <col min="3" max="3" width="2.42578125" style="1" customWidth="1"/>
    <col min="4" max="4" width="22.7109375" style="1" customWidth="1"/>
    <col min="5" max="5" width="12.28515625" style="1" customWidth="1"/>
    <col min="6" max="6" width="19" style="1" customWidth="1"/>
    <col min="7" max="7" width="11.42578125" style="1" customWidth="1"/>
    <col min="8" max="8" width="7.85546875" style="1" customWidth="1"/>
    <col min="9" max="9" width="7.42578125" style="1" customWidth="1"/>
    <col min="10" max="10" width="11.5703125" style="1" customWidth="1"/>
    <col min="11" max="11" width="11.140625" style="1" customWidth="1"/>
    <col min="12" max="12" width="24.7109375" style="1" customWidth="1"/>
    <col min="13" max="13" width="11.7109375" style="1" customWidth="1"/>
    <col min="14" max="14" width="14.7109375" style="1" customWidth="1"/>
    <col min="15" max="15" width="11.28515625" style="1" customWidth="1"/>
    <col min="16" max="16" width="6.28515625" style="1" customWidth="1"/>
    <col min="17" max="17" width="4.28515625" style="1" customWidth="1"/>
    <col min="18" max="18" width="7" style="1" customWidth="1"/>
    <col min="19" max="19" width="7.28515625" style="1" customWidth="1"/>
    <col min="20" max="20" width="7" style="1" customWidth="1"/>
    <col min="21" max="16384" width="10" style="1"/>
  </cols>
  <sheetData>
    <row r="1" spans="2:22" ht="6.75" customHeight="1" x14ac:dyDescent="0.3"/>
    <row r="2" spans="2:22" ht="23.25" customHeight="1" x14ac:dyDescent="0.5">
      <c r="E2" s="2" t="s">
        <v>36</v>
      </c>
    </row>
    <row r="3" spans="2:22" ht="6.75" customHeight="1" thickBot="1" x14ac:dyDescent="0.45">
      <c r="D3" s="3"/>
      <c r="E3" s="4"/>
      <c r="F3" s="5"/>
      <c r="G3" s="6"/>
      <c r="H3" s="61"/>
    </row>
    <row r="4" spans="2:22" ht="20.25" customHeight="1" x14ac:dyDescent="0.35">
      <c r="D4" s="68" t="s">
        <v>0</v>
      </c>
      <c r="E4" s="65">
        <v>180</v>
      </c>
      <c r="F4" s="69" t="s">
        <v>2</v>
      </c>
      <c r="G4" s="70" t="s">
        <v>37</v>
      </c>
      <c r="H4" s="175" t="s">
        <v>34</v>
      </c>
      <c r="I4" s="176"/>
      <c r="N4" s="7" t="s">
        <v>37</v>
      </c>
      <c r="O4" s="8"/>
      <c r="P4" s="8"/>
    </row>
    <row r="5" spans="2:22" ht="15" customHeight="1" thickBot="1" x14ac:dyDescent="0.4">
      <c r="D5" s="71" t="s">
        <v>76</v>
      </c>
      <c r="E5" s="153">
        <v>0</v>
      </c>
      <c r="F5" s="69" t="s">
        <v>5</v>
      </c>
      <c r="G5" s="70" t="s">
        <v>54</v>
      </c>
      <c r="H5" s="177">
        <v>46150</v>
      </c>
      <c r="I5" s="178"/>
      <c r="M5" s="194" t="s">
        <v>1</v>
      </c>
      <c r="N5" s="195"/>
      <c r="O5" s="197">
        <v>46150</v>
      </c>
      <c r="P5" s="198"/>
    </row>
    <row r="6" spans="2:22" ht="15" customHeight="1" thickTop="1" x14ac:dyDescent="0.35">
      <c r="B6" s="212" t="s">
        <v>4</v>
      </c>
      <c r="C6" s="73"/>
      <c r="D6" s="147" t="s">
        <v>43</v>
      </c>
      <c r="E6" s="155">
        <f>Even_Distb_Ld*W22</f>
        <v>456</v>
      </c>
      <c r="F6" s="149" t="s">
        <v>6</v>
      </c>
      <c r="G6" s="217" t="s">
        <v>73</v>
      </c>
      <c r="H6" s="179" t="s">
        <v>35</v>
      </c>
      <c r="I6" s="178"/>
      <c r="M6" s="184" t="s">
        <v>3</v>
      </c>
      <c r="N6" s="185"/>
      <c r="O6" s="186">
        <v>11500</v>
      </c>
      <c r="P6" s="168"/>
      <c r="U6" s="43">
        <v>51.5</v>
      </c>
      <c r="V6" s="43">
        <f>(U6*100)/U11</f>
        <v>29.096045197740114</v>
      </c>
    </row>
    <row r="7" spans="2:22" ht="15" customHeight="1" thickBot="1" x14ac:dyDescent="0.4">
      <c r="B7" s="213" t="s">
        <v>71</v>
      </c>
      <c r="D7" s="148" t="s">
        <v>44</v>
      </c>
      <c r="E7" s="152">
        <f>Even_Distb_Ld*W23</f>
        <v>399</v>
      </c>
      <c r="F7" s="149" t="s">
        <v>7</v>
      </c>
      <c r="G7" s="74">
        <f>M19</f>
        <v>6877</v>
      </c>
      <c r="H7" s="180" t="s">
        <v>95</v>
      </c>
      <c r="I7" s="181"/>
      <c r="M7" s="184" t="s">
        <v>55</v>
      </c>
      <c r="N7" s="185"/>
      <c r="O7" s="186">
        <v>6877</v>
      </c>
      <c r="P7" s="168"/>
      <c r="U7" s="43">
        <v>32</v>
      </c>
      <c r="V7" s="43">
        <f>(U7*100)/U11</f>
        <v>18.07909604519774</v>
      </c>
    </row>
    <row r="8" spans="2:22" ht="15" customHeight="1" thickBot="1" x14ac:dyDescent="0.4">
      <c r="B8" s="214" t="s">
        <v>72</v>
      </c>
      <c r="D8" s="148" t="s">
        <v>45</v>
      </c>
      <c r="E8" s="152">
        <f>Even_Distb_Ld*W24</f>
        <v>399</v>
      </c>
      <c r="F8" s="150" t="s">
        <v>8</v>
      </c>
      <c r="G8" s="72">
        <f>E4</f>
        <v>180</v>
      </c>
      <c r="H8" s="41"/>
      <c r="M8" s="184" t="s">
        <v>56</v>
      </c>
      <c r="N8" s="191"/>
      <c r="O8" s="193">
        <v>103.32</v>
      </c>
      <c r="P8" s="168"/>
      <c r="U8" s="43">
        <v>32</v>
      </c>
      <c r="V8" s="43">
        <f>(U8*100)/U11</f>
        <v>18.07909604519774</v>
      </c>
    </row>
    <row r="9" spans="2:22" ht="15" customHeight="1" thickTop="1" thickBot="1" x14ac:dyDescent="0.4">
      <c r="B9" s="215"/>
      <c r="D9" s="148" t="s">
        <v>46</v>
      </c>
      <c r="E9" s="152">
        <f>Even_Distb_Ld*W25</f>
        <v>342</v>
      </c>
      <c r="F9" s="149" t="s">
        <v>10</v>
      </c>
      <c r="G9" s="142">
        <f>G7+G8+O14</f>
        <v>7077</v>
      </c>
      <c r="H9" s="169" t="s">
        <v>11</v>
      </c>
      <c r="I9" s="170"/>
      <c r="M9" s="184" t="s">
        <v>65</v>
      </c>
      <c r="N9" s="185"/>
      <c r="O9" s="186">
        <f>O7*O8</f>
        <v>710531.6399999999</v>
      </c>
      <c r="P9" s="187"/>
      <c r="U9" s="43">
        <v>31.5</v>
      </c>
      <c r="V9" s="43">
        <f>(U9*100)/U11</f>
        <v>17.796610169491526</v>
      </c>
    </row>
    <row r="10" spans="2:22" ht="15" customHeight="1" thickTop="1" thickBot="1" x14ac:dyDescent="0.4">
      <c r="B10" s="211" t="s">
        <v>92</v>
      </c>
      <c r="C10" s="210"/>
      <c r="D10" s="209" t="s">
        <v>47</v>
      </c>
      <c r="E10" s="156">
        <f>Even_Distb_Ld*W26</f>
        <v>304</v>
      </c>
      <c r="F10" s="151" t="s">
        <v>77</v>
      </c>
      <c r="G10" s="144">
        <f>SUM(E5:E14)</f>
        <v>2400</v>
      </c>
      <c r="H10" s="171">
        <f>G13-G14</f>
        <v>13</v>
      </c>
      <c r="I10" s="172"/>
      <c r="M10" s="184" t="s">
        <v>9</v>
      </c>
      <c r="N10" s="191"/>
      <c r="O10" s="186">
        <v>10500</v>
      </c>
      <c r="P10" s="168"/>
      <c r="U10" s="43">
        <v>30</v>
      </c>
      <c r="V10" s="43">
        <f>(U10*100)/U11</f>
        <v>16.949152542372882</v>
      </c>
    </row>
    <row r="11" spans="2:22" ht="15" customHeight="1" thickTop="1" thickBot="1" x14ac:dyDescent="0.4">
      <c r="B11" s="216">
        <v>1900</v>
      </c>
      <c r="D11" s="145" t="s">
        <v>48</v>
      </c>
      <c r="E11" s="154">
        <v>200</v>
      </c>
      <c r="F11" s="77" t="s">
        <v>14</v>
      </c>
      <c r="G11" s="143">
        <f>G9+G10</f>
        <v>9477</v>
      </c>
      <c r="H11" s="173" t="str">
        <f>IF(G11-1&lt;10500,"ZFW OK","BAD ZFW")</f>
        <v>ZFW OK</v>
      </c>
      <c r="I11" s="174"/>
      <c r="J11" s="78" t="s">
        <v>66</v>
      </c>
      <c r="M11" s="184" t="s">
        <v>12</v>
      </c>
      <c r="N11" s="185"/>
      <c r="O11" s="186">
        <v>11000</v>
      </c>
      <c r="P11" s="168"/>
      <c r="U11" s="11">
        <f>SUM(U6:U10)</f>
        <v>177</v>
      </c>
      <c r="V11" s="1">
        <f>SUM(V6:V10)</f>
        <v>100.00000000000001</v>
      </c>
    </row>
    <row r="12" spans="2:22" ht="15" customHeight="1" thickTop="1" x14ac:dyDescent="0.35">
      <c r="D12" s="79" t="s">
        <v>49</v>
      </c>
      <c r="E12" s="146">
        <v>200</v>
      </c>
      <c r="F12" s="80" t="s">
        <v>15</v>
      </c>
      <c r="G12" s="74">
        <f>E18*6.7</f>
        <v>2010</v>
      </c>
      <c r="H12" s="81"/>
      <c r="M12" s="184" t="s">
        <v>13</v>
      </c>
      <c r="N12" s="185"/>
      <c r="O12" s="188" t="s">
        <v>38</v>
      </c>
      <c r="P12" s="168"/>
    </row>
    <row r="13" spans="2:22" ht="15" customHeight="1" thickBot="1" x14ac:dyDescent="0.4">
      <c r="B13" s="165" t="s">
        <v>101</v>
      </c>
      <c r="D13" s="82" t="s">
        <v>67</v>
      </c>
      <c r="E13" s="129">
        <v>100</v>
      </c>
      <c r="F13" s="83" t="s">
        <v>16</v>
      </c>
      <c r="G13" s="84">
        <v>11500</v>
      </c>
      <c r="H13" s="85"/>
      <c r="J13" s="86"/>
      <c r="M13" s="184" t="s">
        <v>39</v>
      </c>
      <c r="N13" s="185"/>
      <c r="O13" s="188" t="s">
        <v>74</v>
      </c>
      <c r="P13" s="168"/>
    </row>
    <row r="14" spans="2:22" ht="15" customHeight="1" thickTop="1" thickBot="1" x14ac:dyDescent="0.4">
      <c r="B14" s="165" t="s">
        <v>89</v>
      </c>
      <c r="D14" s="87" t="s">
        <v>40</v>
      </c>
      <c r="E14" s="130">
        <v>0</v>
      </c>
      <c r="F14" s="88" t="s">
        <v>17</v>
      </c>
      <c r="G14" s="89">
        <f>M34</f>
        <v>11487</v>
      </c>
      <c r="H14" s="90" t="str">
        <f>IF(G14-1&lt;11500,"T.O. Wt OK","OVERLOADED")</f>
        <v>T.O. Wt OK</v>
      </c>
      <c r="I14" s="91"/>
      <c r="M14" s="184" t="s">
        <v>97</v>
      </c>
      <c r="N14" s="185"/>
      <c r="O14" s="189">
        <v>20</v>
      </c>
      <c r="P14" s="190"/>
    </row>
    <row r="15" spans="2:22" ht="15" customHeight="1" x14ac:dyDescent="0.35">
      <c r="B15" s="123" t="s">
        <v>90</v>
      </c>
      <c r="D15" s="92" t="s">
        <v>63</v>
      </c>
      <c r="E15" s="131">
        <f>100*6.7</f>
        <v>670</v>
      </c>
      <c r="F15" s="93" t="s">
        <v>19</v>
      </c>
      <c r="G15" s="94">
        <f>VLOOKUP(Loaded_Wt,E27:F77,2)</f>
        <v>112.87580000000008</v>
      </c>
      <c r="H15" s="95" t="s">
        <v>87</v>
      </c>
      <c r="I15" s="86"/>
      <c r="J15" s="86"/>
      <c r="Q15" s="10"/>
      <c r="S15" s="11"/>
      <c r="T15" s="11"/>
    </row>
    <row r="16" spans="2:22" ht="15" customHeight="1" x14ac:dyDescent="0.35">
      <c r="B16" s="166" t="s">
        <v>96</v>
      </c>
      <c r="D16" s="96" t="s">
        <v>64</v>
      </c>
      <c r="E16" s="132">
        <f>200*6.7</f>
        <v>1340</v>
      </c>
      <c r="F16" s="97" t="s">
        <v>20</v>
      </c>
      <c r="G16" s="167">
        <f>N34</f>
        <v>120.49722642987724</v>
      </c>
      <c r="H16" s="168"/>
      <c r="I16" s="182" t="str">
        <f>IF(Take_Off_C.G.&lt;117,B46,"Bad CG")</f>
        <v>Bad CG</v>
      </c>
      <c r="J16" s="183"/>
      <c r="Q16" s="10"/>
      <c r="S16" s="11"/>
      <c r="T16" s="11"/>
    </row>
    <row r="17" spans="2:23" ht="17.45" customHeight="1" x14ac:dyDescent="0.35">
      <c r="B17" s="124" t="s">
        <v>88</v>
      </c>
      <c r="D17" s="98" t="s">
        <v>75</v>
      </c>
      <c r="E17" s="99">
        <f>E15+E16</f>
        <v>2010</v>
      </c>
      <c r="F17" s="100" t="s">
        <v>86</v>
      </c>
      <c r="G17" s="101">
        <f>IF(Take_Off_Wt.&gt;11000,J31,"No Limit")</f>
        <v>36.893939393939398</v>
      </c>
      <c r="H17" s="102" t="s">
        <v>21</v>
      </c>
      <c r="I17" s="103"/>
      <c r="R17" s="13"/>
      <c r="S17" s="13"/>
    </row>
    <row r="18" spans="2:23" ht="15" customHeight="1" x14ac:dyDescent="0.35">
      <c r="D18" s="69" t="s">
        <v>18</v>
      </c>
      <c r="E18" s="104">
        <f>E17/6.7</f>
        <v>300</v>
      </c>
      <c r="F18" s="98" t="s">
        <v>69</v>
      </c>
      <c r="G18" s="105">
        <v>13.2</v>
      </c>
      <c r="H18" s="106" t="s">
        <v>22</v>
      </c>
      <c r="L18" s="15" t="s">
        <v>23</v>
      </c>
      <c r="M18" s="16" t="s">
        <v>24</v>
      </c>
      <c r="N18" s="16" t="s">
        <v>25</v>
      </c>
      <c r="O18" s="14" t="s">
        <v>26</v>
      </c>
      <c r="P18" s="14"/>
      <c r="R18" s="13"/>
      <c r="S18" s="17"/>
      <c r="V18" s="141" t="s">
        <v>94</v>
      </c>
    </row>
    <row r="19" spans="2:23" ht="15" customHeight="1" x14ac:dyDescent="0.3">
      <c r="D19" s="107" t="s">
        <v>57</v>
      </c>
      <c r="E19" s="108"/>
      <c r="J19" s="12"/>
      <c r="L19" s="18" t="s">
        <v>27</v>
      </c>
      <c r="M19" s="52">
        <v>6877</v>
      </c>
      <c r="N19" s="53">
        <v>103.32</v>
      </c>
      <c r="O19" s="54">
        <f>M19*N19</f>
        <v>710531.6399999999</v>
      </c>
      <c r="P19" s="38"/>
      <c r="R19" s="13"/>
      <c r="S19" s="17"/>
      <c r="V19" s="140" t="s">
        <v>52</v>
      </c>
    </row>
    <row r="20" spans="2:23" ht="15" customHeight="1" thickBot="1" x14ac:dyDescent="0.35">
      <c r="E20" s="30"/>
      <c r="L20" s="18" t="s">
        <v>0</v>
      </c>
      <c r="M20" s="52">
        <f t="shared" ref="M20:M30" si="0">E4</f>
        <v>180</v>
      </c>
      <c r="N20" s="53">
        <v>32</v>
      </c>
      <c r="O20" s="54">
        <f>M20*N20</f>
        <v>5760</v>
      </c>
      <c r="P20" s="38"/>
      <c r="R20" s="13"/>
      <c r="S20" s="17"/>
      <c r="V20" s="40" t="s">
        <v>51</v>
      </c>
    </row>
    <row r="21" spans="2:23" ht="15" customHeight="1" thickTop="1" thickBot="1" x14ac:dyDescent="0.35">
      <c r="C21" s="202" t="s">
        <v>102</v>
      </c>
      <c r="D21" s="203"/>
      <c r="E21" s="203"/>
      <c r="F21" s="203"/>
      <c r="G21" s="204"/>
      <c r="K21" s="57"/>
      <c r="L21" s="18"/>
      <c r="M21" s="52">
        <f t="shared" si="0"/>
        <v>0</v>
      </c>
      <c r="N21" s="53">
        <v>0</v>
      </c>
      <c r="O21" s="54">
        <f t="shared" ref="O21:O33" si="1">M21*N21</f>
        <v>0</v>
      </c>
      <c r="P21" s="38"/>
      <c r="R21" s="41" t="s">
        <v>58</v>
      </c>
      <c r="S21" s="41" t="s">
        <v>59</v>
      </c>
      <c r="T21" s="1" t="s">
        <v>60</v>
      </c>
      <c r="U21" s="139" t="s">
        <v>61</v>
      </c>
      <c r="V21" s="40" t="s">
        <v>50</v>
      </c>
      <c r="W21" s="1" t="s">
        <v>62</v>
      </c>
    </row>
    <row r="22" spans="2:23" ht="15" customHeight="1" thickBot="1" x14ac:dyDescent="0.35">
      <c r="C22" s="205"/>
      <c r="D22" s="206"/>
      <c r="E22" s="206"/>
      <c r="F22" s="206"/>
      <c r="G22" s="207"/>
      <c r="H22" s="9"/>
      <c r="K22" s="12"/>
      <c r="L22" s="18" t="s">
        <v>43</v>
      </c>
      <c r="M22" s="52">
        <f t="shared" si="0"/>
        <v>456</v>
      </c>
      <c r="N22" s="53">
        <v>78</v>
      </c>
      <c r="O22" s="54">
        <f t="shared" si="1"/>
        <v>35568</v>
      </c>
      <c r="P22" s="38"/>
      <c r="Q22" s="44">
        <v>1</v>
      </c>
      <c r="R22" s="45">
        <v>52.5</v>
      </c>
      <c r="S22" s="45">
        <v>104</v>
      </c>
      <c r="T22" s="46">
        <f>S22-R22</f>
        <v>51.5</v>
      </c>
      <c r="U22" s="138">
        <f>(T22*100)/T32</f>
        <v>29.096045197740114</v>
      </c>
      <c r="V22" s="47">
        <v>24</v>
      </c>
      <c r="W22" s="1">
        <f>V22/100</f>
        <v>0.24</v>
      </c>
    </row>
    <row r="23" spans="2:23" ht="15.6" customHeight="1" thickTop="1" x14ac:dyDescent="0.3">
      <c r="E23" s="30"/>
      <c r="J23" s="12"/>
      <c r="L23" s="18" t="s">
        <v>44</v>
      </c>
      <c r="M23" s="52">
        <f t="shared" si="0"/>
        <v>399</v>
      </c>
      <c r="N23" s="53">
        <v>120</v>
      </c>
      <c r="O23" s="54">
        <f t="shared" si="1"/>
        <v>47880</v>
      </c>
      <c r="P23" s="38"/>
      <c r="Q23" s="35">
        <v>2</v>
      </c>
      <c r="R23" s="42">
        <v>104</v>
      </c>
      <c r="S23" s="42">
        <v>136</v>
      </c>
      <c r="T23" s="43">
        <f t="shared" ref="T23:T29" si="2">S23-R23</f>
        <v>32</v>
      </c>
      <c r="U23" s="43">
        <f>(T23*100)/T32</f>
        <v>18.07909604519774</v>
      </c>
      <c r="V23" s="48">
        <v>21</v>
      </c>
      <c r="W23" s="1">
        <f t="shared" ref="W23:W29" si="3">V23/100</f>
        <v>0.21</v>
      </c>
    </row>
    <row r="24" spans="2:23" ht="15.6" customHeight="1" x14ac:dyDescent="0.3">
      <c r="E24" s="30"/>
      <c r="I24" s="1" t="s">
        <v>72</v>
      </c>
      <c r="J24" s="199">
        <v>134.30000000000001</v>
      </c>
      <c r="K24" s="12"/>
      <c r="L24" s="18" t="s">
        <v>45</v>
      </c>
      <c r="M24" s="52">
        <f t="shared" si="0"/>
        <v>399</v>
      </c>
      <c r="N24" s="55">
        <v>152</v>
      </c>
      <c r="O24" s="54">
        <f t="shared" si="1"/>
        <v>60648</v>
      </c>
      <c r="P24" s="38"/>
      <c r="Q24" s="35">
        <v>3</v>
      </c>
      <c r="R24" s="42">
        <v>136</v>
      </c>
      <c r="S24" s="42">
        <v>168</v>
      </c>
      <c r="T24" s="43">
        <f t="shared" si="2"/>
        <v>32</v>
      </c>
      <c r="U24" s="43">
        <f>(T24*100)/T32</f>
        <v>18.07909604519774</v>
      </c>
      <c r="V24" s="48">
        <v>21</v>
      </c>
      <c r="W24" s="1">
        <f t="shared" si="3"/>
        <v>0.21</v>
      </c>
    </row>
    <row r="25" spans="2:23" ht="15.6" customHeight="1" x14ac:dyDescent="0.3">
      <c r="B25" s="10"/>
      <c r="E25" s="19" t="s">
        <v>28</v>
      </c>
      <c r="F25" s="19"/>
      <c r="G25" s="19"/>
      <c r="I25" s="1" t="s">
        <v>98</v>
      </c>
      <c r="J25" s="199">
        <v>301</v>
      </c>
      <c r="L25" s="18" t="s">
        <v>46</v>
      </c>
      <c r="M25" s="52">
        <f t="shared" si="0"/>
        <v>342</v>
      </c>
      <c r="N25" s="53">
        <v>184</v>
      </c>
      <c r="O25" s="54">
        <f t="shared" si="1"/>
        <v>62928</v>
      </c>
      <c r="P25" s="38"/>
      <c r="Q25" s="35">
        <v>4</v>
      </c>
      <c r="R25" s="42">
        <v>168</v>
      </c>
      <c r="S25" s="42">
        <v>199.5</v>
      </c>
      <c r="T25" s="43">
        <f t="shared" si="2"/>
        <v>31.5</v>
      </c>
      <c r="U25" s="43">
        <f>(T25*100)/T32</f>
        <v>17.796610169491526</v>
      </c>
      <c r="V25" s="48">
        <v>18</v>
      </c>
      <c r="W25" s="1">
        <f t="shared" si="3"/>
        <v>0.18</v>
      </c>
    </row>
    <row r="26" spans="2:23" ht="15.6" customHeight="1" x14ac:dyDescent="0.3">
      <c r="B26" s="59"/>
      <c r="C26" s="36"/>
      <c r="D26" s="37"/>
      <c r="E26" s="20" t="s">
        <v>29</v>
      </c>
      <c r="F26" s="20" t="s">
        <v>30</v>
      </c>
      <c r="G26" s="20" t="s">
        <v>31</v>
      </c>
      <c r="L26" s="18" t="s">
        <v>47</v>
      </c>
      <c r="M26" s="52">
        <f t="shared" si="0"/>
        <v>304</v>
      </c>
      <c r="N26" s="53">
        <v>215</v>
      </c>
      <c r="O26" s="54">
        <f t="shared" si="1"/>
        <v>65360</v>
      </c>
      <c r="P26" s="38"/>
      <c r="Q26" s="35">
        <v>5</v>
      </c>
      <c r="R26" s="42">
        <v>199.5</v>
      </c>
      <c r="S26" s="42">
        <v>229.5</v>
      </c>
      <c r="T26" s="43">
        <f t="shared" si="2"/>
        <v>30</v>
      </c>
      <c r="U26" s="43">
        <f>(T26*100)/T32</f>
        <v>16.949152542372882</v>
      </c>
      <c r="V26" s="48">
        <v>16</v>
      </c>
      <c r="W26" s="1">
        <f t="shared" si="3"/>
        <v>0.16</v>
      </c>
    </row>
    <row r="27" spans="2:23" ht="15.6" customHeight="1" x14ac:dyDescent="0.3">
      <c r="B27" s="11"/>
      <c r="E27" s="21">
        <v>6500</v>
      </c>
      <c r="F27" s="22">
        <v>107</v>
      </c>
      <c r="G27" s="23">
        <v>117</v>
      </c>
      <c r="L27" s="18" t="s">
        <v>48</v>
      </c>
      <c r="M27" s="52">
        <f t="shared" si="0"/>
        <v>200</v>
      </c>
      <c r="N27" s="53">
        <v>244</v>
      </c>
      <c r="O27" s="54">
        <f t="shared" si="1"/>
        <v>48800</v>
      </c>
      <c r="P27" s="38"/>
      <c r="Q27" s="35">
        <v>6</v>
      </c>
      <c r="R27" s="42">
        <v>229.5</v>
      </c>
      <c r="S27" s="42">
        <v>259</v>
      </c>
      <c r="T27" s="43">
        <f t="shared" si="2"/>
        <v>29.5</v>
      </c>
      <c r="U27" s="134"/>
      <c r="V27" s="135"/>
      <c r="W27" s="1">
        <f t="shared" si="3"/>
        <v>0</v>
      </c>
    </row>
    <row r="28" spans="2:23" ht="15.6" customHeight="1" x14ac:dyDescent="0.3">
      <c r="B28" s="11"/>
      <c r="E28" s="24">
        <v>6600</v>
      </c>
      <c r="F28" s="25">
        <v>107</v>
      </c>
      <c r="G28" s="26">
        <v>117</v>
      </c>
      <c r="L28" s="18" t="s">
        <v>49</v>
      </c>
      <c r="M28" s="52">
        <f t="shared" si="0"/>
        <v>200</v>
      </c>
      <c r="N28" s="53">
        <v>273</v>
      </c>
      <c r="O28" s="54">
        <f t="shared" si="1"/>
        <v>54600</v>
      </c>
      <c r="P28" s="38"/>
      <c r="Q28" s="35">
        <v>7</v>
      </c>
      <c r="R28" s="42">
        <v>259</v>
      </c>
      <c r="S28" s="42">
        <v>287</v>
      </c>
      <c r="T28" s="43">
        <f t="shared" si="2"/>
        <v>28</v>
      </c>
      <c r="U28" s="134"/>
      <c r="V28" s="135"/>
      <c r="W28" s="1">
        <f t="shared" si="3"/>
        <v>0</v>
      </c>
    </row>
    <row r="29" spans="2:23" ht="15.6" customHeight="1" thickBot="1" x14ac:dyDescent="0.35">
      <c r="B29" s="11"/>
      <c r="E29" s="24">
        <v>6700</v>
      </c>
      <c r="F29" s="25">
        <v>107</v>
      </c>
      <c r="G29" s="26">
        <v>117</v>
      </c>
      <c r="L29" s="18" t="s">
        <v>100</v>
      </c>
      <c r="M29" s="52">
        <f t="shared" si="0"/>
        <v>100</v>
      </c>
      <c r="N29" s="53">
        <v>301</v>
      </c>
      <c r="O29" s="54">
        <f t="shared" si="1"/>
        <v>30100</v>
      </c>
      <c r="P29" s="38"/>
      <c r="Q29" s="49">
        <v>8</v>
      </c>
      <c r="R29" s="50">
        <v>287</v>
      </c>
      <c r="S29" s="50">
        <v>315</v>
      </c>
      <c r="T29" s="51">
        <f t="shared" si="2"/>
        <v>28</v>
      </c>
      <c r="U29" s="136"/>
      <c r="V29" s="137"/>
      <c r="W29" s="1">
        <f t="shared" si="3"/>
        <v>0</v>
      </c>
    </row>
    <row r="30" spans="2:23" ht="15.6" customHeight="1" thickBot="1" x14ac:dyDescent="0.35">
      <c r="B30" s="11"/>
      <c r="E30" s="24">
        <v>6800</v>
      </c>
      <c r="F30" s="25">
        <v>107</v>
      </c>
      <c r="G30" s="26">
        <v>117</v>
      </c>
      <c r="J30" s="10" t="s">
        <v>68</v>
      </c>
      <c r="L30" s="18" t="s">
        <v>40</v>
      </c>
      <c r="M30" s="52">
        <f t="shared" si="0"/>
        <v>0</v>
      </c>
      <c r="N30" s="53">
        <v>134.30000000000001</v>
      </c>
      <c r="O30" s="54">
        <f t="shared" si="1"/>
        <v>0</v>
      </c>
      <c r="P30" s="38"/>
      <c r="R30" s="17"/>
      <c r="S30" s="13"/>
      <c r="T30" s="11">
        <f>SUM(T22:T27)</f>
        <v>206.5</v>
      </c>
      <c r="U30" s="11">
        <f>SUM(U22:U29)</f>
        <v>100.00000000000001</v>
      </c>
      <c r="V30" s="11">
        <f>SUM(V22:V29)</f>
        <v>100</v>
      </c>
    </row>
    <row r="31" spans="2:23" ht="15.6" customHeight="1" thickBot="1" x14ac:dyDescent="0.35">
      <c r="B31" s="11"/>
      <c r="E31" s="24">
        <v>6900</v>
      </c>
      <c r="F31" s="25">
        <v>107</v>
      </c>
      <c r="G31" s="26">
        <v>117</v>
      </c>
      <c r="J31" s="10">
        <f>(Take_Off_Wt.-Max_Ld_Wt.)/G18</f>
        <v>36.893939393939398</v>
      </c>
      <c r="L31" s="18" t="s">
        <v>4</v>
      </c>
      <c r="M31" s="52">
        <f>O14</f>
        <v>20</v>
      </c>
      <c r="N31" s="56">
        <f>VLOOKUP(B8, I24:J25,2,FALSE)</f>
        <v>134.30000000000001</v>
      </c>
      <c r="O31" s="54">
        <f>M31*N31</f>
        <v>2686</v>
      </c>
      <c r="P31" s="39"/>
      <c r="R31" s="17"/>
      <c r="T31" s="62">
        <f>SUM(T22:T29)/12</f>
        <v>21.875</v>
      </c>
      <c r="U31" s="63" t="s">
        <v>70</v>
      </c>
      <c r="V31" s="64"/>
    </row>
    <row r="32" spans="2:23" ht="15.6" customHeight="1" x14ac:dyDescent="0.3">
      <c r="B32" s="11"/>
      <c r="E32" s="24">
        <v>7000</v>
      </c>
      <c r="F32" s="25">
        <v>107</v>
      </c>
      <c r="G32" s="26">
        <v>117</v>
      </c>
      <c r="L32" s="18" t="s">
        <v>42</v>
      </c>
      <c r="M32" s="52">
        <f>E15</f>
        <v>670</v>
      </c>
      <c r="N32" s="53">
        <v>103</v>
      </c>
      <c r="O32" s="54">
        <f t="shared" si="1"/>
        <v>69010</v>
      </c>
      <c r="P32" s="38"/>
      <c r="R32" s="17"/>
      <c r="S32" s="13"/>
      <c r="T32" s="11">
        <f>SUM(T22:T26)</f>
        <v>177</v>
      </c>
      <c r="U32" s="133" t="s">
        <v>93</v>
      </c>
    </row>
    <row r="33" spans="2:19" ht="15.6" customHeight="1" x14ac:dyDescent="0.3">
      <c r="B33" s="11"/>
      <c r="E33" s="24">
        <v>7100</v>
      </c>
      <c r="F33" s="25">
        <v>107</v>
      </c>
      <c r="G33" s="26">
        <v>117</v>
      </c>
      <c r="L33" s="18" t="s">
        <v>41</v>
      </c>
      <c r="M33" s="52">
        <f>E16</f>
        <v>1340</v>
      </c>
      <c r="N33" s="53">
        <v>142</v>
      </c>
      <c r="O33" s="54">
        <f t="shared" si="1"/>
        <v>190280</v>
      </c>
      <c r="P33" s="38"/>
      <c r="R33" s="17"/>
      <c r="S33" s="13"/>
    </row>
    <row r="34" spans="2:19" ht="15.6" customHeight="1" x14ac:dyDescent="0.35">
      <c r="B34" s="11"/>
      <c r="E34" s="24">
        <v>7200</v>
      </c>
      <c r="F34" s="25">
        <v>107</v>
      </c>
      <c r="G34" s="26">
        <v>117</v>
      </c>
      <c r="L34" s="31" t="s">
        <v>32</v>
      </c>
      <c r="M34" s="33">
        <f>SUM(M19:M33)</f>
        <v>11487</v>
      </c>
      <c r="N34" s="34">
        <f>Loaded_Monent/M34</f>
        <v>120.49722642987724</v>
      </c>
      <c r="O34" s="32">
        <f>SUM(O19:O33)</f>
        <v>1384151.64</v>
      </c>
      <c r="P34" s="27" t="s">
        <v>33</v>
      </c>
      <c r="R34" s="17"/>
    </row>
    <row r="35" spans="2:19" ht="15.6" customHeight="1" x14ac:dyDescent="0.3">
      <c r="B35" s="11"/>
      <c r="E35" s="24">
        <v>7300</v>
      </c>
      <c r="F35" s="25">
        <v>107</v>
      </c>
      <c r="G35" s="26">
        <v>117</v>
      </c>
    </row>
    <row r="36" spans="2:19" ht="15.6" customHeight="1" x14ac:dyDescent="0.3">
      <c r="B36" s="11"/>
      <c r="E36" s="24">
        <v>7400</v>
      </c>
      <c r="F36" s="25">
        <v>107</v>
      </c>
      <c r="G36" s="26">
        <v>117</v>
      </c>
    </row>
    <row r="37" spans="2:19" x14ac:dyDescent="0.3">
      <c r="B37" s="11"/>
      <c r="E37" s="24">
        <v>7500</v>
      </c>
      <c r="F37" s="25">
        <v>107</v>
      </c>
      <c r="G37" s="26">
        <v>117</v>
      </c>
    </row>
    <row r="38" spans="2:19" x14ac:dyDescent="0.3">
      <c r="B38" s="11"/>
      <c r="E38" s="24">
        <v>7600</v>
      </c>
      <c r="F38" s="25">
        <v>107</v>
      </c>
      <c r="G38" s="26">
        <v>117</v>
      </c>
    </row>
    <row r="39" spans="2:19" x14ac:dyDescent="0.3">
      <c r="B39" s="11"/>
      <c r="E39" s="24">
        <v>7700</v>
      </c>
      <c r="F39" s="25">
        <v>107</v>
      </c>
      <c r="G39" s="26">
        <v>117</v>
      </c>
    </row>
    <row r="40" spans="2:19" x14ac:dyDescent="0.3">
      <c r="B40" s="11"/>
      <c r="E40" s="24">
        <v>7800</v>
      </c>
      <c r="F40" s="25">
        <v>107</v>
      </c>
      <c r="G40" s="26">
        <v>117</v>
      </c>
    </row>
    <row r="41" spans="2:19" x14ac:dyDescent="0.3">
      <c r="B41" s="11"/>
      <c r="E41" s="24">
        <v>7900</v>
      </c>
      <c r="F41" s="25">
        <v>107</v>
      </c>
      <c r="G41" s="26">
        <v>117</v>
      </c>
    </row>
    <row r="42" spans="2:19" x14ac:dyDescent="0.3">
      <c r="B42" s="11"/>
      <c r="E42" s="24">
        <v>8000</v>
      </c>
      <c r="F42" s="25">
        <v>107</v>
      </c>
      <c r="G42" s="26">
        <v>117</v>
      </c>
    </row>
    <row r="43" spans="2:19" x14ac:dyDescent="0.3">
      <c r="B43" s="11"/>
      <c r="E43" s="24">
        <v>8100</v>
      </c>
      <c r="F43" s="25">
        <v>107</v>
      </c>
      <c r="G43" s="26">
        <v>117</v>
      </c>
    </row>
    <row r="44" spans="2:19" x14ac:dyDescent="0.3">
      <c r="B44" s="11"/>
      <c r="E44" s="24">
        <v>8200</v>
      </c>
      <c r="F44" s="25">
        <v>107</v>
      </c>
      <c r="G44" s="26">
        <v>117</v>
      </c>
      <c r="R44" s="17"/>
      <c r="S44" s="17"/>
    </row>
    <row r="45" spans="2:19" x14ac:dyDescent="0.3">
      <c r="B45" s="11"/>
      <c r="E45" s="24">
        <v>8300</v>
      </c>
      <c r="F45" s="25">
        <v>107</v>
      </c>
      <c r="G45" s="26">
        <v>117</v>
      </c>
      <c r="N45" s="9"/>
    </row>
    <row r="46" spans="2:19" x14ac:dyDescent="0.3">
      <c r="B46" s="1" t="str">
        <f>IF(G16&lt;G15,"C.G. Not OK","OK CG")</f>
        <v>OK CG</v>
      </c>
      <c r="E46" s="24">
        <v>8400</v>
      </c>
      <c r="F46" s="25">
        <v>107</v>
      </c>
      <c r="G46" s="26">
        <v>117</v>
      </c>
      <c r="Q46" s="9"/>
    </row>
    <row r="47" spans="2:19" x14ac:dyDescent="0.3">
      <c r="E47" s="24">
        <v>8500</v>
      </c>
      <c r="F47" s="25">
        <v>107</v>
      </c>
      <c r="G47" s="26">
        <v>117</v>
      </c>
      <c r="L47" s="28"/>
      <c r="M47" s="28"/>
      <c r="N47" s="28"/>
      <c r="O47" s="28"/>
      <c r="P47" s="28"/>
    </row>
    <row r="48" spans="2:19" x14ac:dyDescent="0.3">
      <c r="E48" s="24">
        <v>8600</v>
      </c>
      <c r="F48" s="25">
        <v>107</v>
      </c>
      <c r="G48" s="26">
        <v>117</v>
      </c>
    </row>
    <row r="49" spans="5:7" x14ac:dyDescent="0.3">
      <c r="E49" s="24">
        <v>8700</v>
      </c>
      <c r="F49" s="25">
        <v>107</v>
      </c>
      <c r="G49" s="26">
        <v>117</v>
      </c>
    </row>
    <row r="50" spans="5:7" x14ac:dyDescent="0.3">
      <c r="E50" s="24">
        <v>8800</v>
      </c>
      <c r="F50" s="25">
        <v>107</v>
      </c>
      <c r="G50" s="26">
        <v>117</v>
      </c>
    </row>
    <row r="51" spans="5:7" x14ac:dyDescent="0.3">
      <c r="E51" s="24">
        <v>8900</v>
      </c>
      <c r="F51" s="25">
        <v>107</v>
      </c>
      <c r="G51" s="26">
        <v>117</v>
      </c>
    </row>
    <row r="52" spans="5:7" x14ac:dyDescent="0.3">
      <c r="E52" s="24">
        <v>9000</v>
      </c>
      <c r="F52" s="25">
        <v>107</v>
      </c>
      <c r="G52" s="26">
        <v>117</v>
      </c>
    </row>
    <row r="53" spans="5:7" x14ac:dyDescent="0.3">
      <c r="E53" s="24">
        <v>9100</v>
      </c>
      <c r="F53" s="25">
        <v>107</v>
      </c>
      <c r="G53" s="26">
        <v>117</v>
      </c>
    </row>
    <row r="54" spans="5:7" x14ac:dyDescent="0.3">
      <c r="E54" s="24">
        <v>9200</v>
      </c>
      <c r="F54" s="25">
        <v>107</v>
      </c>
      <c r="G54" s="26">
        <v>117</v>
      </c>
    </row>
    <row r="55" spans="5:7" x14ac:dyDescent="0.3">
      <c r="E55" s="24">
        <v>9300</v>
      </c>
      <c r="F55" s="25">
        <v>107</v>
      </c>
      <c r="G55" s="26">
        <v>117</v>
      </c>
    </row>
    <row r="56" spans="5:7" x14ac:dyDescent="0.3">
      <c r="E56" s="24">
        <v>9400</v>
      </c>
      <c r="F56" s="25">
        <v>107</v>
      </c>
      <c r="G56" s="26">
        <v>117</v>
      </c>
    </row>
    <row r="57" spans="5:7" x14ac:dyDescent="0.3">
      <c r="E57" s="24">
        <v>9500</v>
      </c>
      <c r="F57" s="25">
        <v>107</v>
      </c>
      <c r="G57" s="26">
        <v>117</v>
      </c>
    </row>
    <row r="58" spans="5:7" x14ac:dyDescent="0.3">
      <c r="E58" s="24">
        <v>9600</v>
      </c>
      <c r="F58" s="25">
        <v>107</v>
      </c>
      <c r="G58" s="26">
        <v>117</v>
      </c>
    </row>
    <row r="59" spans="5:7" x14ac:dyDescent="0.3">
      <c r="E59" s="24">
        <v>9700</v>
      </c>
      <c r="F59" s="25">
        <v>107</v>
      </c>
      <c r="G59" s="26">
        <v>117</v>
      </c>
    </row>
    <row r="60" spans="5:7" x14ac:dyDescent="0.3">
      <c r="E60" s="24">
        <v>9800</v>
      </c>
      <c r="F60" s="25">
        <v>107</v>
      </c>
      <c r="G60" s="26">
        <v>117</v>
      </c>
    </row>
    <row r="61" spans="5:7" x14ac:dyDescent="0.3">
      <c r="E61" s="24">
        <v>9900</v>
      </c>
      <c r="F61" s="25">
        <v>107</v>
      </c>
      <c r="G61" s="26">
        <v>117</v>
      </c>
    </row>
    <row r="62" spans="5:7" x14ac:dyDescent="0.3">
      <c r="E62" s="24">
        <v>10000</v>
      </c>
      <c r="F62" s="25">
        <v>107</v>
      </c>
      <c r="G62" s="26">
        <v>117</v>
      </c>
    </row>
    <row r="63" spans="5:7" x14ac:dyDescent="0.3">
      <c r="E63" s="24">
        <v>10100</v>
      </c>
      <c r="F63" s="29">
        <f>F62+0.4197</f>
        <v>107.41970000000001</v>
      </c>
      <c r="G63" s="26">
        <v>117</v>
      </c>
    </row>
    <row r="64" spans="5:7" x14ac:dyDescent="0.3">
      <c r="E64" s="24">
        <v>10200</v>
      </c>
      <c r="F64" s="29">
        <f t="shared" ref="F64:F77" si="4">F63+0.4197</f>
        <v>107.83940000000001</v>
      </c>
      <c r="G64" s="26">
        <v>117</v>
      </c>
    </row>
    <row r="65" spans="5:7" x14ac:dyDescent="0.3">
      <c r="E65" s="24">
        <v>10300</v>
      </c>
      <c r="F65" s="29">
        <f t="shared" si="4"/>
        <v>108.25910000000002</v>
      </c>
      <c r="G65" s="26">
        <v>117</v>
      </c>
    </row>
    <row r="66" spans="5:7" x14ac:dyDescent="0.3">
      <c r="E66" s="24">
        <v>10400</v>
      </c>
      <c r="F66" s="29">
        <f t="shared" si="4"/>
        <v>108.67880000000002</v>
      </c>
      <c r="G66" s="26">
        <v>117</v>
      </c>
    </row>
    <row r="67" spans="5:7" x14ac:dyDescent="0.3">
      <c r="E67" s="24">
        <v>10500</v>
      </c>
      <c r="F67" s="29">
        <f t="shared" si="4"/>
        <v>109.09850000000003</v>
      </c>
      <c r="G67" s="26">
        <v>117</v>
      </c>
    </row>
    <row r="68" spans="5:7" x14ac:dyDescent="0.3">
      <c r="E68" s="24">
        <v>10600</v>
      </c>
      <c r="F68" s="29">
        <f t="shared" si="4"/>
        <v>109.51820000000004</v>
      </c>
      <c r="G68" s="26">
        <v>117</v>
      </c>
    </row>
    <row r="69" spans="5:7" x14ac:dyDescent="0.3">
      <c r="E69" s="24">
        <v>10700</v>
      </c>
      <c r="F69" s="29">
        <f t="shared" si="4"/>
        <v>109.93790000000004</v>
      </c>
      <c r="G69" s="26">
        <v>117</v>
      </c>
    </row>
    <row r="70" spans="5:7" x14ac:dyDescent="0.3">
      <c r="E70" s="24">
        <v>10800</v>
      </c>
      <c r="F70" s="29">
        <f t="shared" si="4"/>
        <v>110.35760000000005</v>
      </c>
      <c r="G70" s="26">
        <v>117</v>
      </c>
    </row>
    <row r="71" spans="5:7" x14ac:dyDescent="0.3">
      <c r="E71" s="24">
        <v>10900</v>
      </c>
      <c r="F71" s="29">
        <f t="shared" si="4"/>
        <v>110.77730000000005</v>
      </c>
      <c r="G71" s="26">
        <v>117</v>
      </c>
    </row>
    <row r="72" spans="5:7" x14ac:dyDescent="0.3">
      <c r="E72" s="24">
        <v>11000</v>
      </c>
      <c r="F72" s="29">
        <f t="shared" si="4"/>
        <v>111.19700000000006</v>
      </c>
      <c r="G72" s="26">
        <v>117</v>
      </c>
    </row>
    <row r="73" spans="5:7" x14ac:dyDescent="0.3">
      <c r="E73" s="24">
        <v>11100</v>
      </c>
      <c r="F73" s="29">
        <f t="shared" si="4"/>
        <v>111.61670000000007</v>
      </c>
      <c r="G73" s="26">
        <v>117</v>
      </c>
    </row>
    <row r="74" spans="5:7" x14ac:dyDescent="0.3">
      <c r="E74" s="24">
        <v>11200</v>
      </c>
      <c r="F74" s="29">
        <f t="shared" si="4"/>
        <v>112.03640000000007</v>
      </c>
      <c r="G74" s="26">
        <v>117</v>
      </c>
    </row>
    <row r="75" spans="5:7" x14ac:dyDescent="0.3">
      <c r="E75" s="24">
        <v>11300</v>
      </c>
      <c r="F75" s="29">
        <f t="shared" si="4"/>
        <v>112.45610000000008</v>
      </c>
      <c r="G75" s="26">
        <v>117</v>
      </c>
    </row>
    <row r="76" spans="5:7" x14ac:dyDescent="0.3">
      <c r="E76" s="24">
        <v>11400</v>
      </c>
      <c r="F76" s="29">
        <f t="shared" si="4"/>
        <v>112.87580000000008</v>
      </c>
      <c r="G76" s="26">
        <v>117</v>
      </c>
    </row>
    <row r="77" spans="5:7" x14ac:dyDescent="0.3">
      <c r="E77" s="24">
        <v>11500</v>
      </c>
      <c r="F77" s="29">
        <f t="shared" si="4"/>
        <v>113.29550000000009</v>
      </c>
      <c r="G77" s="26">
        <v>117</v>
      </c>
    </row>
    <row r="78" spans="5:7" x14ac:dyDescent="0.3">
      <c r="E78" s="60">
        <v>11600</v>
      </c>
      <c r="F78" s="60">
        <v>113.4</v>
      </c>
    </row>
  </sheetData>
  <sheetProtection sheet="1" objects="1" scenarios="1"/>
  <mergeCells count="30">
    <mergeCell ref="C21:G22"/>
    <mergeCell ref="M6:N6"/>
    <mergeCell ref="M7:N7"/>
    <mergeCell ref="M8:N8"/>
    <mergeCell ref="M9:N9"/>
    <mergeCell ref="O5:P5"/>
    <mergeCell ref="O6:P6"/>
    <mergeCell ref="O7:P7"/>
    <mergeCell ref="O8:P8"/>
    <mergeCell ref="M5:N5"/>
    <mergeCell ref="M11:N11"/>
    <mergeCell ref="M12:N12"/>
    <mergeCell ref="M13:N13"/>
    <mergeCell ref="M14:N14"/>
    <mergeCell ref="O9:P9"/>
    <mergeCell ref="O10:P10"/>
    <mergeCell ref="O11:P11"/>
    <mergeCell ref="O12:P12"/>
    <mergeCell ref="O13:P13"/>
    <mergeCell ref="O14:P14"/>
    <mergeCell ref="M10:N10"/>
    <mergeCell ref="G16:H16"/>
    <mergeCell ref="H9:I9"/>
    <mergeCell ref="H10:I10"/>
    <mergeCell ref="H11:I11"/>
    <mergeCell ref="H4:I4"/>
    <mergeCell ref="H5:I5"/>
    <mergeCell ref="H6:I6"/>
    <mergeCell ref="H7:I7"/>
    <mergeCell ref="I16:J16"/>
  </mergeCells>
  <phoneticPr fontId="27" type="noConversion"/>
  <dataValidations count="1">
    <dataValidation type="list" allowBlank="1" showInputMessage="1" showErrorMessage="1" promptTitle="Pick Location" prompt="Pick WING or SHELF" sqref="B8" xr:uid="{62E5C37E-3B80-4B9A-9EFB-BBC571E44822}">
      <formula1>$I$24:$I$25</formula1>
    </dataValidation>
  </dataValidations>
  <printOptions gridLines="1"/>
  <pageMargins left="0.75" right="0.75" top="1" bottom="1" header="0.5" footer="0.5"/>
  <pageSetup orientation="landscape" r:id="rId1"/>
  <headerFooter alignWithMargins="0"/>
  <ignoredErrors>
    <ignoredError sqref="E6:E7 E8:E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8A5B4-5F99-4F77-967A-ABA705F7B755}">
  <sheetPr>
    <pageSetUpPr fitToPage="1"/>
  </sheetPr>
  <dimension ref="A1:V90"/>
  <sheetViews>
    <sheetView showGridLines="0" zoomScaleNormal="100" workbookViewId="0">
      <selection activeCell="G6" sqref="G6"/>
    </sheetView>
  </sheetViews>
  <sheetFormatPr defaultColWidth="10" defaultRowHeight="15" x14ac:dyDescent="0.3"/>
  <cols>
    <col min="1" max="1" width="2.140625" style="1" customWidth="1"/>
    <col min="2" max="2" width="20.28515625" style="1" customWidth="1"/>
    <col min="3" max="3" width="2.42578125" style="1" customWidth="1"/>
    <col min="4" max="4" width="23.7109375" style="1" customWidth="1"/>
    <col min="5" max="5" width="12.28515625" style="1" customWidth="1"/>
    <col min="6" max="6" width="19" style="1" customWidth="1"/>
    <col min="7" max="7" width="11.42578125" style="1" customWidth="1"/>
    <col min="8" max="8" width="9" style="1" customWidth="1"/>
    <col min="9" max="9" width="7.42578125" style="1" customWidth="1"/>
    <col min="10" max="10" width="13.5703125" style="1" customWidth="1"/>
    <col min="11" max="11" width="11.140625" style="1" customWidth="1"/>
    <col min="12" max="12" width="29.85546875" style="1" bestFit="1" customWidth="1"/>
    <col min="13" max="13" width="11.7109375" style="1" customWidth="1"/>
    <col min="14" max="14" width="14.7109375" style="1" customWidth="1"/>
    <col min="15" max="15" width="11.28515625" style="1" customWidth="1"/>
    <col min="16" max="16" width="6.28515625" style="1" customWidth="1"/>
    <col min="17" max="17" width="4.28515625" style="1" customWidth="1"/>
    <col min="18" max="18" width="7" style="1" customWidth="1"/>
    <col min="19" max="19" width="7.28515625" style="1" customWidth="1"/>
    <col min="20" max="20" width="7" style="1" customWidth="1"/>
    <col min="21" max="16384" width="10" style="1"/>
  </cols>
  <sheetData>
    <row r="1" spans="2:20" ht="6.75" customHeight="1" x14ac:dyDescent="0.3"/>
    <row r="2" spans="2:20" ht="23.25" customHeight="1" x14ac:dyDescent="0.5">
      <c r="E2" s="2" t="s">
        <v>36</v>
      </c>
    </row>
    <row r="3" spans="2:20" ht="6.75" customHeight="1" thickBot="1" x14ac:dyDescent="0.45">
      <c r="D3" s="3"/>
      <c r="E3" s="4"/>
      <c r="F3" s="5"/>
      <c r="G3" s="6"/>
      <c r="H3" s="61"/>
    </row>
    <row r="4" spans="2:20" ht="20.25" customHeight="1" x14ac:dyDescent="0.35">
      <c r="D4" s="68" t="s">
        <v>0</v>
      </c>
      <c r="E4" s="65">
        <v>180</v>
      </c>
      <c r="F4" s="69" t="s">
        <v>2</v>
      </c>
      <c r="G4" s="70" t="s">
        <v>37</v>
      </c>
      <c r="H4" s="175" t="s">
        <v>34</v>
      </c>
      <c r="I4" s="176"/>
      <c r="N4" s="7" t="s">
        <v>37</v>
      </c>
      <c r="O4" s="8"/>
      <c r="P4" s="8"/>
      <c r="Q4" s="8"/>
    </row>
    <row r="5" spans="2:20" ht="15" customHeight="1" thickBot="1" x14ac:dyDescent="0.4">
      <c r="D5" s="68" t="s">
        <v>76</v>
      </c>
      <c r="E5" s="162">
        <v>0</v>
      </c>
      <c r="F5" s="69" t="s">
        <v>5</v>
      </c>
      <c r="G5" s="70" t="s">
        <v>54</v>
      </c>
      <c r="H5" s="177">
        <v>41730</v>
      </c>
      <c r="I5" s="178"/>
      <c r="M5" s="194" t="s">
        <v>1</v>
      </c>
      <c r="N5" s="195"/>
      <c r="O5" s="192">
        <v>42835</v>
      </c>
      <c r="P5" s="168"/>
    </row>
    <row r="6" spans="2:20" ht="15" customHeight="1" thickTop="1" thickBot="1" x14ac:dyDescent="0.4">
      <c r="B6" s="212" t="s">
        <v>4</v>
      </c>
      <c r="C6" s="73"/>
      <c r="D6" s="77" t="s">
        <v>78</v>
      </c>
      <c r="E6" s="164"/>
      <c r="F6" s="149" t="s">
        <v>6</v>
      </c>
      <c r="G6" s="217" t="s">
        <v>73</v>
      </c>
      <c r="H6" s="179" t="s">
        <v>35</v>
      </c>
      <c r="I6" s="178"/>
      <c r="M6" s="184" t="s">
        <v>3</v>
      </c>
      <c r="N6" s="185"/>
      <c r="O6" s="186">
        <v>11500</v>
      </c>
      <c r="P6" s="168"/>
    </row>
    <row r="7" spans="2:20" ht="15" customHeight="1" thickBot="1" x14ac:dyDescent="0.4">
      <c r="B7" s="213" t="s">
        <v>71</v>
      </c>
      <c r="D7" s="69" t="s">
        <v>79</v>
      </c>
      <c r="E7" s="163"/>
      <c r="F7" s="69" t="s">
        <v>7</v>
      </c>
      <c r="G7" s="74">
        <f>M19</f>
        <v>6877</v>
      </c>
      <c r="H7" s="180">
        <v>41730</v>
      </c>
      <c r="I7" s="181"/>
      <c r="M7" s="184" t="s">
        <v>55</v>
      </c>
      <c r="N7" s="185"/>
      <c r="O7" s="186">
        <v>6877</v>
      </c>
      <c r="P7" s="168"/>
    </row>
    <row r="8" spans="2:20" ht="15" customHeight="1" thickBot="1" x14ac:dyDescent="0.4">
      <c r="B8" s="214" t="s">
        <v>72</v>
      </c>
      <c r="D8" s="69" t="s">
        <v>80</v>
      </c>
      <c r="E8" s="163"/>
      <c r="F8" s="75" t="s">
        <v>8</v>
      </c>
      <c r="G8" s="109">
        <f>E4</f>
        <v>180</v>
      </c>
      <c r="H8" s="41"/>
      <c r="M8" s="184" t="s">
        <v>56</v>
      </c>
      <c r="N8" s="191"/>
      <c r="O8" s="193">
        <f>N19</f>
        <v>103.32</v>
      </c>
      <c r="P8" s="168"/>
    </row>
    <row r="9" spans="2:20" ht="15" customHeight="1" thickTop="1" x14ac:dyDescent="0.35">
      <c r="B9" s="118"/>
      <c r="D9" s="69" t="s">
        <v>81</v>
      </c>
      <c r="E9" s="163"/>
      <c r="F9" s="69" t="s">
        <v>10</v>
      </c>
      <c r="G9" s="74">
        <f>G7+G8+O14</f>
        <v>7077</v>
      </c>
      <c r="H9" s="169" t="s">
        <v>11</v>
      </c>
      <c r="I9" s="170"/>
      <c r="M9" s="184" t="s">
        <v>65</v>
      </c>
      <c r="N9" s="185"/>
      <c r="O9" s="186">
        <f>O19</f>
        <v>710531.6399999999</v>
      </c>
      <c r="P9" s="187"/>
    </row>
    <row r="10" spans="2:20" ht="15" customHeight="1" thickBot="1" x14ac:dyDescent="0.4">
      <c r="B10" s="165" t="s">
        <v>101</v>
      </c>
      <c r="C10" s="110"/>
      <c r="D10" s="69" t="s">
        <v>82</v>
      </c>
      <c r="E10" s="163"/>
      <c r="F10" s="125" t="s">
        <v>77</v>
      </c>
      <c r="G10" s="76">
        <f>SUM(E5:E14)</f>
        <v>0</v>
      </c>
      <c r="H10" s="196">
        <f>G13-G14</f>
        <v>2413</v>
      </c>
      <c r="I10" s="172"/>
      <c r="M10" s="184" t="s">
        <v>9</v>
      </c>
      <c r="N10" s="191"/>
      <c r="O10" s="186">
        <v>10500</v>
      </c>
      <c r="P10" s="168"/>
    </row>
    <row r="11" spans="2:20" ht="15" customHeight="1" thickBot="1" x14ac:dyDescent="0.4">
      <c r="B11" s="166" t="s">
        <v>89</v>
      </c>
      <c r="D11" s="77" t="s">
        <v>83</v>
      </c>
      <c r="E11" s="159">
        <v>0</v>
      </c>
      <c r="F11" s="157" t="s">
        <v>14</v>
      </c>
      <c r="G11" s="74">
        <f>G9+G10</f>
        <v>7077</v>
      </c>
      <c r="H11" s="173" t="str">
        <f>IF(G11-1&lt;10500,"ZFW OK","BAD ZFW")</f>
        <v>ZFW OK</v>
      </c>
      <c r="I11" s="174"/>
      <c r="J11" s="117" t="s">
        <v>66</v>
      </c>
      <c r="M11" s="184" t="s">
        <v>12</v>
      </c>
      <c r="N11" s="185"/>
      <c r="O11" s="186">
        <v>11000</v>
      </c>
      <c r="P11" s="168"/>
    </row>
    <row r="12" spans="2:20" ht="15" customHeight="1" x14ac:dyDescent="0.35">
      <c r="B12" s="123" t="s">
        <v>90</v>
      </c>
      <c r="D12" s="77" t="s">
        <v>84</v>
      </c>
      <c r="E12" s="160">
        <v>0</v>
      </c>
      <c r="F12" s="80" t="s">
        <v>15</v>
      </c>
      <c r="G12" s="74">
        <f>E18*6.7</f>
        <v>2010</v>
      </c>
      <c r="H12" s="111"/>
      <c r="M12" s="184" t="s">
        <v>13</v>
      </c>
      <c r="N12" s="185"/>
      <c r="O12" s="188" t="s">
        <v>38</v>
      </c>
      <c r="P12" s="168"/>
    </row>
    <row r="13" spans="2:20" ht="15" customHeight="1" thickBot="1" x14ac:dyDescent="0.4">
      <c r="B13" s="166" t="s">
        <v>96</v>
      </c>
      <c r="D13" s="77" t="s">
        <v>85</v>
      </c>
      <c r="E13" s="161">
        <v>0</v>
      </c>
      <c r="F13" s="115" t="s">
        <v>16</v>
      </c>
      <c r="G13" s="116">
        <v>11500</v>
      </c>
      <c r="H13" s="85"/>
      <c r="I13" s="86"/>
      <c r="M13" s="184" t="s">
        <v>39</v>
      </c>
      <c r="N13" s="185"/>
      <c r="O13" s="188" t="s">
        <v>74</v>
      </c>
      <c r="P13" s="168"/>
    </row>
    <row r="14" spans="2:20" ht="15" customHeight="1" thickBot="1" x14ac:dyDescent="0.4">
      <c r="B14" s="124" t="s">
        <v>88</v>
      </c>
      <c r="D14" s="112" t="s">
        <v>40</v>
      </c>
      <c r="E14" s="158">
        <v>0</v>
      </c>
      <c r="F14" s="119" t="s">
        <v>17</v>
      </c>
      <c r="G14" s="120">
        <f>M34</f>
        <v>9087</v>
      </c>
      <c r="H14" s="121" t="str">
        <f>IF(G14-1&lt;11500,"T.O. Wt OK","OVERLOADED")</f>
        <v>T.O. Wt OK</v>
      </c>
      <c r="I14" s="122"/>
      <c r="M14" s="184" t="s">
        <v>53</v>
      </c>
      <c r="N14" s="185"/>
      <c r="O14" s="189">
        <v>20</v>
      </c>
      <c r="P14" s="190"/>
    </row>
    <row r="15" spans="2:20" ht="15" customHeight="1" x14ac:dyDescent="0.35">
      <c r="D15" s="92" t="s">
        <v>63</v>
      </c>
      <c r="E15" s="66">
        <f>100*6.7</f>
        <v>670</v>
      </c>
      <c r="F15" s="93" t="s">
        <v>19</v>
      </c>
      <c r="G15" s="94">
        <f>VLOOKUP(Loaded_Wt,E27:F77,2)</f>
        <v>107</v>
      </c>
      <c r="H15" s="95" t="s">
        <v>87</v>
      </c>
      <c r="I15" s="86"/>
      <c r="J15" s="86"/>
      <c r="S15" s="11"/>
    </row>
    <row r="16" spans="2:20" ht="15" customHeight="1" x14ac:dyDescent="0.35">
      <c r="D16" s="96" t="s">
        <v>64</v>
      </c>
      <c r="E16" s="67">
        <f>(100+100)*6.7</f>
        <v>1340</v>
      </c>
      <c r="F16" s="97" t="s">
        <v>20</v>
      </c>
      <c r="G16" s="167">
        <f>N34</f>
        <v>107.36014526246285</v>
      </c>
      <c r="H16" s="168"/>
      <c r="I16" s="182" t="str">
        <f>IF(Take_Off_C.G.&lt;117,B46,"Bad CG")</f>
        <v>OK CG</v>
      </c>
      <c r="J16" s="183"/>
      <c r="Q16" s="10"/>
      <c r="S16" s="11"/>
      <c r="T16" s="11"/>
    </row>
    <row r="17" spans="1:22" ht="17.45" customHeight="1" x14ac:dyDescent="0.35">
      <c r="D17" s="98" t="s">
        <v>75</v>
      </c>
      <c r="E17" s="99">
        <f>E15+E16</f>
        <v>2010</v>
      </c>
      <c r="F17" s="113" t="s">
        <v>86</v>
      </c>
      <c r="G17" s="128" t="str">
        <f>IF(Take_Off_Wt.&gt;11000,J31,"No Limit")</f>
        <v>No Limit</v>
      </c>
      <c r="H17" s="102" t="s">
        <v>21</v>
      </c>
      <c r="I17" s="103"/>
      <c r="R17" s="13"/>
      <c r="S17" s="13"/>
    </row>
    <row r="18" spans="1:22" ht="15" customHeight="1" x14ac:dyDescent="0.35">
      <c r="D18" s="69" t="s">
        <v>18</v>
      </c>
      <c r="E18" s="104">
        <f>E17/6.7</f>
        <v>300</v>
      </c>
      <c r="F18" s="98" t="s">
        <v>69</v>
      </c>
      <c r="G18" s="114">
        <v>13.25</v>
      </c>
      <c r="H18" s="106" t="s">
        <v>22</v>
      </c>
      <c r="L18" s="15" t="s">
        <v>23</v>
      </c>
      <c r="M18" s="16" t="s">
        <v>24</v>
      </c>
      <c r="N18" s="16" t="s">
        <v>25</v>
      </c>
      <c r="O18" s="14" t="s">
        <v>26</v>
      </c>
      <c r="P18" s="14"/>
      <c r="R18" s="13"/>
      <c r="S18" s="17"/>
    </row>
    <row r="19" spans="1:22" ht="15" customHeight="1" x14ac:dyDescent="0.3">
      <c r="D19" s="107" t="s">
        <v>57</v>
      </c>
      <c r="E19" s="108"/>
      <c r="J19" s="12"/>
      <c r="L19" s="18" t="s">
        <v>27</v>
      </c>
      <c r="M19" s="52">
        <v>6877</v>
      </c>
      <c r="N19" s="53">
        <v>103.32</v>
      </c>
      <c r="O19" s="54">
        <f>M19*N19</f>
        <v>710531.6399999999</v>
      </c>
      <c r="P19" s="38"/>
      <c r="R19" s="13"/>
      <c r="S19" s="17"/>
    </row>
    <row r="20" spans="1:22" ht="15.6" customHeight="1" thickBot="1" x14ac:dyDescent="0.35">
      <c r="E20" s="30"/>
      <c r="L20" s="18" t="s">
        <v>0</v>
      </c>
      <c r="M20" s="52">
        <f t="shared" ref="M20:M30" si="0">E4</f>
        <v>180</v>
      </c>
      <c r="N20" s="53">
        <v>32</v>
      </c>
      <c r="O20" s="54">
        <f>M20*N20</f>
        <v>5760</v>
      </c>
      <c r="P20" s="38"/>
      <c r="R20" s="13"/>
      <c r="S20" s="17"/>
      <c r="V20" s="40"/>
    </row>
    <row r="21" spans="1:22" ht="15.6" customHeight="1" thickTop="1" x14ac:dyDescent="0.3">
      <c r="C21" s="208" t="s">
        <v>103</v>
      </c>
      <c r="D21" s="203"/>
      <c r="E21" s="203"/>
      <c r="F21" s="203"/>
      <c r="G21" s="204"/>
      <c r="K21" s="57"/>
      <c r="L21" s="18"/>
      <c r="M21" s="52">
        <f t="shared" si="0"/>
        <v>0</v>
      </c>
      <c r="N21" s="53">
        <v>0</v>
      </c>
      <c r="O21" s="54">
        <f t="shared" ref="O21:O33" si="1">M21*N21</f>
        <v>0</v>
      </c>
      <c r="P21" s="38"/>
      <c r="R21" s="41"/>
      <c r="S21" s="41"/>
      <c r="V21" s="40"/>
    </row>
    <row r="22" spans="1:22" ht="15.6" customHeight="1" thickBot="1" x14ac:dyDescent="0.35">
      <c r="C22" s="205"/>
      <c r="D22" s="206"/>
      <c r="E22" s="206"/>
      <c r="F22" s="206"/>
      <c r="G22" s="207"/>
      <c r="H22" s="9"/>
      <c r="K22" s="12"/>
      <c r="L22" s="18" t="s">
        <v>43</v>
      </c>
      <c r="M22" s="52">
        <f t="shared" si="0"/>
        <v>0</v>
      </c>
      <c r="N22" s="53">
        <v>78</v>
      </c>
      <c r="O22" s="54">
        <f t="shared" si="1"/>
        <v>0</v>
      </c>
      <c r="P22" s="38"/>
      <c r="R22" s="126"/>
      <c r="S22" s="126"/>
      <c r="T22" s="11"/>
      <c r="U22" s="11"/>
      <c r="V22" s="11"/>
    </row>
    <row r="23" spans="1:22" ht="15.6" customHeight="1" thickTop="1" x14ac:dyDescent="0.3">
      <c r="E23" s="30"/>
      <c r="I23" s="200" t="s">
        <v>99</v>
      </c>
      <c r="J23" s="201"/>
      <c r="L23" s="18" t="s">
        <v>44</v>
      </c>
      <c r="M23" s="52">
        <f t="shared" si="0"/>
        <v>0</v>
      </c>
      <c r="N23" s="53">
        <v>120</v>
      </c>
      <c r="O23" s="54">
        <f t="shared" si="1"/>
        <v>0</v>
      </c>
      <c r="P23" s="38"/>
      <c r="R23" s="126"/>
      <c r="S23" s="126"/>
      <c r="T23" s="11"/>
      <c r="U23" s="11"/>
      <c r="V23" s="11"/>
    </row>
    <row r="24" spans="1:22" ht="15.6" customHeight="1" x14ac:dyDescent="0.3">
      <c r="E24" s="30"/>
      <c r="I24" s="1" t="s">
        <v>72</v>
      </c>
      <c r="J24" s="199">
        <v>134.30000000000001</v>
      </c>
      <c r="K24" s="12"/>
      <c r="L24" s="18" t="s">
        <v>45</v>
      </c>
      <c r="M24" s="52">
        <f t="shared" si="0"/>
        <v>0</v>
      </c>
      <c r="N24" s="55">
        <v>152</v>
      </c>
      <c r="O24" s="54">
        <f t="shared" si="1"/>
        <v>0</v>
      </c>
      <c r="P24" s="38"/>
      <c r="R24" s="126"/>
      <c r="S24" s="126"/>
      <c r="T24" s="11"/>
      <c r="U24" s="11"/>
      <c r="V24" s="11"/>
    </row>
    <row r="25" spans="1:22" ht="15.6" customHeight="1" x14ac:dyDescent="0.3">
      <c r="A25" s="58"/>
      <c r="B25" s="10"/>
      <c r="E25" s="19" t="s">
        <v>28</v>
      </c>
      <c r="F25" s="19"/>
      <c r="G25" s="19"/>
      <c r="I25" s="1" t="s">
        <v>98</v>
      </c>
      <c r="J25" s="199">
        <v>301</v>
      </c>
      <c r="L25" s="18" t="s">
        <v>46</v>
      </c>
      <c r="M25" s="52">
        <f t="shared" si="0"/>
        <v>0</v>
      </c>
      <c r="N25" s="53">
        <v>184</v>
      </c>
      <c r="O25" s="54">
        <f t="shared" si="1"/>
        <v>0</v>
      </c>
      <c r="P25" s="38"/>
      <c r="R25" s="126"/>
      <c r="S25" s="126"/>
      <c r="T25" s="11"/>
      <c r="U25" s="11"/>
      <c r="V25" s="11"/>
    </row>
    <row r="26" spans="1:22" ht="15.6" customHeight="1" x14ac:dyDescent="0.3">
      <c r="A26" s="58"/>
      <c r="B26" s="59"/>
      <c r="C26" s="36"/>
      <c r="D26" s="37"/>
      <c r="E26" s="20" t="s">
        <v>29</v>
      </c>
      <c r="F26" s="20" t="s">
        <v>30</v>
      </c>
      <c r="G26" s="20" t="s">
        <v>31</v>
      </c>
      <c r="L26" s="18" t="s">
        <v>47</v>
      </c>
      <c r="M26" s="52">
        <f t="shared" si="0"/>
        <v>0</v>
      </c>
      <c r="N26" s="53">
        <v>215</v>
      </c>
      <c r="O26" s="54">
        <f t="shared" si="1"/>
        <v>0</v>
      </c>
      <c r="P26" s="38"/>
      <c r="R26" s="126"/>
      <c r="S26" s="126"/>
      <c r="T26" s="11"/>
      <c r="U26" s="11"/>
      <c r="V26" s="11"/>
    </row>
    <row r="27" spans="1:22" ht="15.6" customHeight="1" x14ac:dyDescent="0.3">
      <c r="A27" s="11"/>
      <c r="B27" s="11"/>
      <c r="E27" s="21">
        <v>6500</v>
      </c>
      <c r="F27" s="22">
        <v>107</v>
      </c>
      <c r="G27" s="23">
        <v>117</v>
      </c>
      <c r="L27" s="18" t="s">
        <v>48</v>
      </c>
      <c r="M27" s="52">
        <f t="shared" si="0"/>
        <v>0</v>
      </c>
      <c r="N27" s="53">
        <v>244</v>
      </c>
      <c r="O27" s="54">
        <f t="shared" si="1"/>
        <v>0</v>
      </c>
      <c r="P27" s="38"/>
      <c r="R27" s="126"/>
      <c r="S27" s="126"/>
      <c r="T27" s="11"/>
      <c r="U27" s="11"/>
    </row>
    <row r="28" spans="1:22" ht="15.6" customHeight="1" x14ac:dyDescent="0.3">
      <c r="A28" s="11"/>
      <c r="B28" s="11"/>
      <c r="E28" s="24">
        <v>6600</v>
      </c>
      <c r="F28" s="25">
        <v>107</v>
      </c>
      <c r="G28" s="26">
        <v>117</v>
      </c>
      <c r="L28" s="18" t="s">
        <v>49</v>
      </c>
      <c r="M28" s="52">
        <f t="shared" si="0"/>
        <v>0</v>
      </c>
      <c r="N28" s="53">
        <v>273</v>
      </c>
      <c r="O28" s="54">
        <f t="shared" si="1"/>
        <v>0</v>
      </c>
      <c r="P28" s="38"/>
      <c r="R28" s="126"/>
      <c r="S28" s="126"/>
      <c r="T28" s="11"/>
      <c r="U28" s="11"/>
    </row>
    <row r="29" spans="1:22" ht="15.6" customHeight="1" x14ac:dyDescent="0.3">
      <c r="A29" s="11"/>
      <c r="B29" s="11"/>
      <c r="E29" s="24">
        <v>6700</v>
      </c>
      <c r="F29" s="25">
        <v>107</v>
      </c>
      <c r="G29" s="26">
        <v>117</v>
      </c>
      <c r="L29" s="18" t="s">
        <v>100</v>
      </c>
      <c r="M29" s="52">
        <f t="shared" si="0"/>
        <v>0</v>
      </c>
      <c r="N29" s="53">
        <v>301</v>
      </c>
      <c r="O29" s="54">
        <f t="shared" si="1"/>
        <v>0</v>
      </c>
      <c r="P29" s="38"/>
      <c r="R29" s="126"/>
      <c r="S29" s="126"/>
      <c r="T29" s="11"/>
      <c r="U29" s="11"/>
    </row>
    <row r="30" spans="1:22" ht="15.6" customHeight="1" x14ac:dyDescent="0.3">
      <c r="A30" s="11"/>
      <c r="B30" s="11"/>
      <c r="E30" s="24">
        <v>6800</v>
      </c>
      <c r="F30" s="25">
        <v>107</v>
      </c>
      <c r="G30" s="26">
        <v>117</v>
      </c>
      <c r="J30" s="10" t="s">
        <v>68</v>
      </c>
      <c r="L30" s="18" t="s">
        <v>40</v>
      </c>
      <c r="M30" s="52">
        <f t="shared" si="0"/>
        <v>0</v>
      </c>
      <c r="N30" s="53">
        <v>134.30000000000001</v>
      </c>
      <c r="O30" s="54">
        <f t="shared" si="1"/>
        <v>0</v>
      </c>
      <c r="P30" s="38"/>
      <c r="R30" s="17"/>
      <c r="S30" s="13"/>
      <c r="T30" s="11"/>
      <c r="U30" s="11"/>
      <c r="V30" s="11"/>
    </row>
    <row r="31" spans="1:22" ht="15.6" customHeight="1" x14ac:dyDescent="0.3">
      <c r="A31" s="11"/>
      <c r="B31" s="11"/>
      <c r="E31" s="24">
        <v>6900</v>
      </c>
      <c r="F31" s="25">
        <v>107</v>
      </c>
      <c r="G31" s="26">
        <v>117</v>
      </c>
      <c r="J31" s="10">
        <f>(Take_Off_Wt.-Max_Ld_Wt.)/G18</f>
        <v>-144.37735849056602</v>
      </c>
      <c r="L31" s="18" t="s">
        <v>4</v>
      </c>
      <c r="M31" s="52">
        <f>O14</f>
        <v>20</v>
      </c>
      <c r="N31" s="56">
        <f>VLOOKUP(B8, I24:J25,2,FALSE)</f>
        <v>134.30000000000001</v>
      </c>
      <c r="O31" s="54"/>
      <c r="P31" s="39"/>
      <c r="R31" s="17"/>
      <c r="T31" s="11"/>
      <c r="U31" s="30"/>
    </row>
    <row r="32" spans="1:22" ht="15.6" customHeight="1" x14ac:dyDescent="0.3">
      <c r="A32" s="11"/>
      <c r="B32" s="11"/>
      <c r="E32" s="24">
        <v>7000</v>
      </c>
      <c r="F32" s="25">
        <v>107</v>
      </c>
      <c r="G32" s="26">
        <v>117</v>
      </c>
      <c r="L32" s="18" t="s">
        <v>42</v>
      </c>
      <c r="M32" s="52">
        <f>E15</f>
        <v>670</v>
      </c>
      <c r="N32" s="53">
        <v>103</v>
      </c>
      <c r="O32" s="54">
        <f t="shared" si="1"/>
        <v>69010</v>
      </c>
      <c r="P32" s="38"/>
      <c r="R32" s="17"/>
      <c r="S32" s="13"/>
    </row>
    <row r="33" spans="1:19" ht="14.25" customHeight="1" x14ac:dyDescent="0.3">
      <c r="A33" s="11"/>
      <c r="B33" s="11"/>
      <c r="E33" s="24">
        <v>7100</v>
      </c>
      <c r="F33" s="25">
        <v>107</v>
      </c>
      <c r="G33" s="26">
        <v>117</v>
      </c>
      <c r="L33" s="18" t="s">
        <v>41</v>
      </c>
      <c r="M33" s="52">
        <f>E16</f>
        <v>1340</v>
      </c>
      <c r="N33" s="53">
        <v>142</v>
      </c>
      <c r="O33" s="54">
        <f t="shared" si="1"/>
        <v>190280</v>
      </c>
      <c r="P33" s="38"/>
      <c r="R33" s="17"/>
      <c r="S33" s="13"/>
    </row>
    <row r="34" spans="1:19" ht="16.5" x14ac:dyDescent="0.35">
      <c r="A34" s="11"/>
      <c r="B34" s="11"/>
      <c r="E34" s="24">
        <v>7200</v>
      </c>
      <c r="F34" s="25">
        <v>107</v>
      </c>
      <c r="G34" s="26">
        <v>117</v>
      </c>
      <c r="L34" s="31" t="s">
        <v>32</v>
      </c>
      <c r="M34" s="33">
        <f>SUM(M19:M33)</f>
        <v>9087</v>
      </c>
      <c r="N34" s="34">
        <f>Loaded_Monent/M34</f>
        <v>107.36014526246285</v>
      </c>
      <c r="O34" s="32">
        <f>SUM(O19:O33)</f>
        <v>975581.6399999999</v>
      </c>
      <c r="P34" s="27" t="s">
        <v>33</v>
      </c>
      <c r="R34" s="17"/>
    </row>
    <row r="35" spans="1:19" ht="16.5" x14ac:dyDescent="0.35">
      <c r="A35" s="11"/>
      <c r="B35" s="11"/>
      <c r="E35" s="24">
        <v>7300</v>
      </c>
      <c r="F35" s="25">
        <v>107</v>
      </c>
      <c r="G35" s="26">
        <v>117</v>
      </c>
      <c r="N35" s="127" t="s">
        <v>91</v>
      </c>
    </row>
    <row r="36" spans="1:19" x14ac:dyDescent="0.3">
      <c r="A36" s="11"/>
      <c r="B36" s="11"/>
      <c r="E36" s="24">
        <v>7400</v>
      </c>
      <c r="F36" s="25">
        <v>107</v>
      </c>
      <c r="G36" s="26">
        <v>117</v>
      </c>
    </row>
    <row r="37" spans="1:19" x14ac:dyDescent="0.3">
      <c r="A37" s="11"/>
      <c r="B37" s="11"/>
      <c r="E37" s="24">
        <v>7500</v>
      </c>
      <c r="F37" s="25">
        <v>107</v>
      </c>
      <c r="G37" s="26">
        <v>117</v>
      </c>
    </row>
    <row r="38" spans="1:19" x14ac:dyDescent="0.3">
      <c r="A38" s="11"/>
      <c r="B38" s="11"/>
      <c r="E38" s="24">
        <v>7600</v>
      </c>
      <c r="F38" s="25">
        <v>107</v>
      </c>
      <c r="G38" s="26">
        <v>117</v>
      </c>
    </row>
    <row r="39" spans="1:19" x14ac:dyDescent="0.3">
      <c r="A39" s="11"/>
      <c r="B39" s="11"/>
      <c r="E39" s="24">
        <v>7700</v>
      </c>
      <c r="F39" s="25">
        <v>107</v>
      </c>
      <c r="G39" s="26">
        <v>117</v>
      </c>
    </row>
    <row r="40" spans="1:19" x14ac:dyDescent="0.3">
      <c r="A40" s="11"/>
      <c r="B40" s="11"/>
      <c r="E40" s="24">
        <v>7800</v>
      </c>
      <c r="F40" s="25">
        <v>107</v>
      </c>
      <c r="G40" s="26">
        <v>117</v>
      </c>
    </row>
    <row r="41" spans="1:19" x14ac:dyDescent="0.3">
      <c r="A41" s="11"/>
      <c r="B41" s="11"/>
      <c r="E41" s="24">
        <v>7900</v>
      </c>
      <c r="F41" s="25">
        <v>107</v>
      </c>
      <c r="G41" s="26">
        <v>117</v>
      </c>
    </row>
    <row r="42" spans="1:19" x14ac:dyDescent="0.3">
      <c r="A42" s="11"/>
      <c r="B42" s="11"/>
      <c r="E42" s="24">
        <v>8000</v>
      </c>
      <c r="F42" s="25">
        <v>107</v>
      </c>
      <c r="G42" s="26">
        <v>117</v>
      </c>
    </row>
    <row r="43" spans="1:19" x14ac:dyDescent="0.3">
      <c r="A43" s="11"/>
      <c r="B43" s="11"/>
      <c r="E43" s="24">
        <v>8100</v>
      </c>
      <c r="F43" s="25">
        <v>107</v>
      </c>
      <c r="G43" s="26">
        <v>117</v>
      </c>
    </row>
    <row r="44" spans="1:19" x14ac:dyDescent="0.3">
      <c r="A44" s="11"/>
      <c r="B44" s="11"/>
      <c r="E44" s="24">
        <v>8200</v>
      </c>
      <c r="F44" s="25">
        <v>107</v>
      </c>
      <c r="G44" s="26">
        <v>117</v>
      </c>
      <c r="R44" s="17"/>
      <c r="S44" s="17"/>
    </row>
    <row r="45" spans="1:19" x14ac:dyDescent="0.3">
      <c r="A45" s="11"/>
      <c r="B45" s="11"/>
      <c r="E45" s="24">
        <v>8300</v>
      </c>
      <c r="F45" s="25">
        <v>107</v>
      </c>
      <c r="G45" s="26">
        <v>117</v>
      </c>
      <c r="N45" s="9"/>
    </row>
    <row r="46" spans="1:19" x14ac:dyDescent="0.3">
      <c r="A46" s="11"/>
      <c r="B46" s="1" t="str">
        <f>IF(G16&lt;G15,"C.G. Not OK","OK CG")</f>
        <v>OK CG</v>
      </c>
      <c r="E46" s="24">
        <v>8400</v>
      </c>
      <c r="F46" s="25">
        <v>107</v>
      </c>
      <c r="G46" s="26">
        <v>117</v>
      </c>
      <c r="Q46" s="9"/>
    </row>
    <row r="47" spans="1:19" x14ac:dyDescent="0.3">
      <c r="A47" s="11"/>
      <c r="E47" s="24">
        <v>8500</v>
      </c>
      <c r="F47" s="25">
        <v>107</v>
      </c>
      <c r="G47" s="26">
        <v>117</v>
      </c>
      <c r="L47" s="28"/>
      <c r="M47" s="28"/>
      <c r="N47" s="28"/>
      <c r="O47" s="28"/>
      <c r="P47" s="28"/>
    </row>
    <row r="48" spans="1:19" x14ac:dyDescent="0.3">
      <c r="A48" s="11"/>
      <c r="E48" s="24">
        <v>8600</v>
      </c>
      <c r="F48" s="25">
        <v>107</v>
      </c>
      <c r="G48" s="26">
        <v>117</v>
      </c>
    </row>
    <row r="49" spans="1:7" x14ac:dyDescent="0.3">
      <c r="A49" s="11"/>
      <c r="E49" s="24">
        <v>8700</v>
      </c>
      <c r="F49" s="25">
        <v>107</v>
      </c>
      <c r="G49" s="26">
        <v>117</v>
      </c>
    </row>
    <row r="50" spans="1:7" x14ac:dyDescent="0.3">
      <c r="A50" s="11"/>
      <c r="E50" s="24">
        <v>8800</v>
      </c>
      <c r="F50" s="25">
        <v>107</v>
      </c>
      <c r="G50" s="26">
        <v>117</v>
      </c>
    </row>
    <row r="51" spans="1:7" x14ac:dyDescent="0.3">
      <c r="A51" s="11"/>
      <c r="E51" s="24">
        <v>8900</v>
      </c>
      <c r="F51" s="25">
        <v>107</v>
      </c>
      <c r="G51" s="26">
        <v>117</v>
      </c>
    </row>
    <row r="52" spans="1:7" x14ac:dyDescent="0.3">
      <c r="A52" s="11"/>
      <c r="E52" s="24">
        <v>9000</v>
      </c>
      <c r="F52" s="25">
        <v>107</v>
      </c>
      <c r="G52" s="26">
        <v>117</v>
      </c>
    </row>
    <row r="53" spans="1:7" x14ac:dyDescent="0.3">
      <c r="A53" s="11"/>
      <c r="E53" s="24">
        <v>9100</v>
      </c>
      <c r="F53" s="25">
        <v>107</v>
      </c>
      <c r="G53" s="26">
        <v>117</v>
      </c>
    </row>
    <row r="54" spans="1:7" x14ac:dyDescent="0.3">
      <c r="A54" s="11"/>
      <c r="E54" s="24">
        <v>9200</v>
      </c>
      <c r="F54" s="25">
        <v>107</v>
      </c>
      <c r="G54" s="26">
        <v>117</v>
      </c>
    </row>
    <row r="55" spans="1:7" x14ac:dyDescent="0.3">
      <c r="A55" s="11"/>
      <c r="E55" s="24">
        <v>9300</v>
      </c>
      <c r="F55" s="25">
        <v>107</v>
      </c>
      <c r="G55" s="26">
        <v>117</v>
      </c>
    </row>
    <row r="56" spans="1:7" x14ac:dyDescent="0.3">
      <c r="A56" s="11"/>
      <c r="E56" s="24">
        <v>9400</v>
      </c>
      <c r="F56" s="25">
        <v>107</v>
      </c>
      <c r="G56" s="26">
        <v>117</v>
      </c>
    </row>
    <row r="57" spans="1:7" x14ac:dyDescent="0.3">
      <c r="A57" s="11"/>
      <c r="E57" s="24">
        <v>9500</v>
      </c>
      <c r="F57" s="25">
        <v>107</v>
      </c>
      <c r="G57" s="26">
        <v>117</v>
      </c>
    </row>
    <row r="58" spans="1:7" x14ac:dyDescent="0.3">
      <c r="A58" s="11"/>
      <c r="E58" s="24">
        <v>9600</v>
      </c>
      <c r="F58" s="25">
        <v>107</v>
      </c>
      <c r="G58" s="26">
        <v>117</v>
      </c>
    </row>
    <row r="59" spans="1:7" x14ac:dyDescent="0.3">
      <c r="A59" s="11"/>
      <c r="E59" s="24">
        <v>9700</v>
      </c>
      <c r="F59" s="25">
        <v>107</v>
      </c>
      <c r="G59" s="26">
        <v>117</v>
      </c>
    </row>
    <row r="60" spans="1:7" x14ac:dyDescent="0.3">
      <c r="A60" s="11"/>
      <c r="E60" s="24">
        <v>9800</v>
      </c>
      <c r="F60" s="25">
        <v>107</v>
      </c>
      <c r="G60" s="26">
        <v>117</v>
      </c>
    </row>
    <row r="61" spans="1:7" x14ac:dyDescent="0.3">
      <c r="A61" s="11"/>
      <c r="E61" s="24">
        <v>9900</v>
      </c>
      <c r="F61" s="25">
        <v>107</v>
      </c>
      <c r="G61" s="26">
        <v>117</v>
      </c>
    </row>
    <row r="62" spans="1:7" x14ac:dyDescent="0.3">
      <c r="A62" s="11"/>
      <c r="E62" s="24">
        <v>10000</v>
      </c>
      <c r="F62" s="25">
        <v>107</v>
      </c>
      <c r="G62" s="26">
        <v>117</v>
      </c>
    </row>
    <row r="63" spans="1:7" x14ac:dyDescent="0.3">
      <c r="A63" s="11"/>
      <c r="E63" s="24">
        <v>10100</v>
      </c>
      <c r="F63" s="29">
        <f>F62+0.4197</f>
        <v>107.41970000000001</v>
      </c>
      <c r="G63" s="26">
        <v>117</v>
      </c>
    </row>
    <row r="64" spans="1:7" x14ac:dyDescent="0.3">
      <c r="A64" s="11"/>
      <c r="E64" s="24">
        <v>10200</v>
      </c>
      <c r="F64" s="29">
        <f t="shared" ref="F64:F77" si="2">F63+0.4197</f>
        <v>107.83940000000001</v>
      </c>
      <c r="G64" s="26">
        <v>117</v>
      </c>
    </row>
    <row r="65" spans="1:7" x14ac:dyDescent="0.3">
      <c r="A65" s="11"/>
      <c r="E65" s="24">
        <v>10300</v>
      </c>
      <c r="F65" s="29">
        <f t="shared" si="2"/>
        <v>108.25910000000002</v>
      </c>
      <c r="G65" s="26">
        <v>117</v>
      </c>
    </row>
    <row r="66" spans="1:7" x14ac:dyDescent="0.3">
      <c r="A66" s="11"/>
      <c r="E66" s="24">
        <v>10400</v>
      </c>
      <c r="F66" s="29">
        <f t="shared" si="2"/>
        <v>108.67880000000002</v>
      </c>
      <c r="G66" s="26">
        <v>117</v>
      </c>
    </row>
    <row r="67" spans="1:7" x14ac:dyDescent="0.3">
      <c r="A67" s="11"/>
      <c r="E67" s="24">
        <v>10500</v>
      </c>
      <c r="F67" s="29">
        <f t="shared" si="2"/>
        <v>109.09850000000003</v>
      </c>
      <c r="G67" s="26">
        <v>117</v>
      </c>
    </row>
    <row r="68" spans="1:7" x14ac:dyDescent="0.3">
      <c r="A68" s="11"/>
      <c r="E68" s="24">
        <v>10600</v>
      </c>
      <c r="F68" s="29">
        <f t="shared" si="2"/>
        <v>109.51820000000004</v>
      </c>
      <c r="G68" s="26">
        <v>117</v>
      </c>
    </row>
    <row r="69" spans="1:7" x14ac:dyDescent="0.3">
      <c r="A69" s="11"/>
      <c r="E69" s="24">
        <v>10700</v>
      </c>
      <c r="F69" s="29">
        <f t="shared" si="2"/>
        <v>109.93790000000004</v>
      </c>
      <c r="G69" s="26">
        <v>117</v>
      </c>
    </row>
    <row r="70" spans="1:7" x14ac:dyDescent="0.3">
      <c r="A70" s="11"/>
      <c r="E70" s="24">
        <v>10800</v>
      </c>
      <c r="F70" s="29">
        <f t="shared" si="2"/>
        <v>110.35760000000005</v>
      </c>
      <c r="G70" s="26">
        <v>117</v>
      </c>
    </row>
    <row r="71" spans="1:7" x14ac:dyDescent="0.3">
      <c r="A71" s="11"/>
      <c r="E71" s="24">
        <v>10900</v>
      </c>
      <c r="F71" s="29">
        <f t="shared" si="2"/>
        <v>110.77730000000005</v>
      </c>
      <c r="G71" s="26">
        <v>117</v>
      </c>
    </row>
    <row r="72" spans="1:7" x14ac:dyDescent="0.3">
      <c r="A72" s="11"/>
      <c r="E72" s="24">
        <v>11000</v>
      </c>
      <c r="F72" s="29">
        <f t="shared" si="2"/>
        <v>111.19700000000006</v>
      </c>
      <c r="G72" s="26">
        <v>117</v>
      </c>
    </row>
    <row r="73" spans="1:7" x14ac:dyDescent="0.3">
      <c r="A73" s="11"/>
      <c r="E73" s="24">
        <v>11100</v>
      </c>
      <c r="F73" s="29">
        <f t="shared" si="2"/>
        <v>111.61670000000007</v>
      </c>
      <c r="G73" s="26">
        <v>117</v>
      </c>
    </row>
    <row r="74" spans="1:7" x14ac:dyDescent="0.3">
      <c r="A74" s="11"/>
      <c r="E74" s="24">
        <v>11200</v>
      </c>
      <c r="F74" s="29">
        <f t="shared" si="2"/>
        <v>112.03640000000007</v>
      </c>
      <c r="G74" s="26">
        <v>117</v>
      </c>
    </row>
    <row r="75" spans="1:7" x14ac:dyDescent="0.3">
      <c r="A75" s="11"/>
      <c r="E75" s="24">
        <v>11300</v>
      </c>
      <c r="F75" s="29">
        <f t="shared" si="2"/>
        <v>112.45610000000008</v>
      </c>
      <c r="G75" s="26">
        <v>117</v>
      </c>
    </row>
    <row r="76" spans="1:7" x14ac:dyDescent="0.3">
      <c r="A76" s="11"/>
      <c r="E76" s="24">
        <v>11400</v>
      </c>
      <c r="F76" s="29">
        <f t="shared" si="2"/>
        <v>112.87580000000008</v>
      </c>
      <c r="G76" s="26">
        <v>117</v>
      </c>
    </row>
    <row r="77" spans="1:7" x14ac:dyDescent="0.3">
      <c r="A77" s="11"/>
      <c r="E77" s="24">
        <v>11500</v>
      </c>
      <c r="F77" s="29">
        <f t="shared" si="2"/>
        <v>113.29550000000009</v>
      </c>
      <c r="G77" s="26">
        <v>117</v>
      </c>
    </row>
    <row r="78" spans="1:7" x14ac:dyDescent="0.3">
      <c r="E78" s="60">
        <v>11600</v>
      </c>
      <c r="F78" s="60">
        <v>113.4</v>
      </c>
    </row>
    <row r="86" spans="1:1" x14ac:dyDescent="0.3">
      <c r="A86" s="11"/>
    </row>
    <row r="87" spans="1:1" x14ac:dyDescent="0.3">
      <c r="A87" s="11"/>
    </row>
    <row r="88" spans="1:1" x14ac:dyDescent="0.3">
      <c r="A88" s="11"/>
    </row>
    <row r="89" spans="1:1" x14ac:dyDescent="0.3">
      <c r="A89" s="11"/>
    </row>
    <row r="90" spans="1:1" x14ac:dyDescent="0.3">
      <c r="A90" s="11"/>
    </row>
  </sheetData>
  <sheetProtection sheet="1" objects="1" scenarios="1"/>
  <mergeCells count="31">
    <mergeCell ref="I23:J23"/>
    <mergeCell ref="C21:G22"/>
    <mergeCell ref="H9:I9"/>
    <mergeCell ref="O9:P9"/>
    <mergeCell ref="H10:I10"/>
    <mergeCell ref="O10:P10"/>
    <mergeCell ref="H4:I4"/>
    <mergeCell ref="H5:I5"/>
    <mergeCell ref="O5:P5"/>
    <mergeCell ref="H6:I6"/>
    <mergeCell ref="O6:P6"/>
    <mergeCell ref="O7:P7"/>
    <mergeCell ref="I16:J16"/>
    <mergeCell ref="O8:P8"/>
    <mergeCell ref="H11:I11"/>
    <mergeCell ref="M13:N13"/>
    <mergeCell ref="O11:P11"/>
    <mergeCell ref="O14:P14"/>
    <mergeCell ref="H7:I7"/>
    <mergeCell ref="O12:P12"/>
    <mergeCell ref="O13:P13"/>
    <mergeCell ref="M14:N14"/>
    <mergeCell ref="G16:H16"/>
    <mergeCell ref="M5:N5"/>
    <mergeCell ref="M6:N6"/>
    <mergeCell ref="M7:N7"/>
    <mergeCell ref="M8:N8"/>
    <mergeCell ref="M9:N9"/>
    <mergeCell ref="M10:N10"/>
    <mergeCell ref="M11:N11"/>
    <mergeCell ref="M12:N12"/>
  </mergeCells>
  <phoneticPr fontId="34" type="noConversion"/>
  <dataValidations count="1">
    <dataValidation type="list" allowBlank="1" showInputMessage="1" showErrorMessage="1" promptTitle="Pick Location" prompt="Wing or Shelf" sqref="B8" xr:uid="{7C269688-D205-4CE0-8740-50B4EC649D95}">
      <formula1>$I$24:$I$25</formula1>
    </dataValidation>
  </dataValidations>
  <printOptions gridLines="1"/>
  <pageMargins left="0.75" right="0.75" top="1" bottom="1" header="0.5" footer="0.5"/>
  <pageSetup orientation="landscape" r:id="rId1"/>
  <headerFooter alignWithMargins="0"/>
  <ignoredErrors>
    <ignoredError sqref="E18" unlockedFormula="1"/>
    <ignoredError sqref="H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16</vt:i4>
      </vt:variant>
    </vt:vector>
  </HeadingPairs>
  <TitlesOfParts>
    <vt:vector size="18" baseType="lpstr">
      <vt:lpstr>Volpar Equal Dist Loads</vt:lpstr>
      <vt:lpstr>Volpar Individual Loads</vt:lpstr>
      <vt:lpstr>'Volpar Individual Loads'!Even_Distb_Ld</vt:lpstr>
      <vt:lpstr>Even_Distb_Ld</vt:lpstr>
      <vt:lpstr>'Volpar Equal Dist Loads'!Loaded_Monent</vt:lpstr>
      <vt:lpstr>'Volpar Individual Loads'!Loaded_Monent</vt:lpstr>
      <vt:lpstr>'Volpar Individual Loads'!Loaded_Wt</vt:lpstr>
      <vt:lpstr>Loaded_Wt</vt:lpstr>
      <vt:lpstr>'Volpar Equal Dist Loads'!Max_Ld_Wt.</vt:lpstr>
      <vt:lpstr>'Volpar Individual Loads'!Max_Ld_Wt.</vt:lpstr>
      <vt:lpstr>'Volpar Equal Dist Loads'!Print_Area</vt:lpstr>
      <vt:lpstr>'Volpar Individual Loads'!Print_Area</vt:lpstr>
      <vt:lpstr>'Volpar Equal Dist Loads'!Take_Off_C.G.</vt:lpstr>
      <vt:lpstr>'Volpar Individual Loads'!Take_Off_C.G.</vt:lpstr>
      <vt:lpstr>'Volpar Equal Dist Loads'!Take_Off_Wt.</vt:lpstr>
      <vt:lpstr>'Volpar Individual Loads'!Take_Off_Wt.</vt:lpstr>
      <vt:lpstr>'Volpar Equal Dist Loads'!ZFW</vt:lpstr>
      <vt:lpstr>'Volpar Individual Loads'!ZFW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Larson</dc:creator>
  <cp:lastModifiedBy>Alan Larson</cp:lastModifiedBy>
  <cp:lastPrinted>2016-07-10T17:42:57Z</cp:lastPrinted>
  <dcterms:created xsi:type="dcterms:W3CDTF">2008-04-22T17:34:35Z</dcterms:created>
  <dcterms:modified xsi:type="dcterms:W3CDTF">2026-05-12T00:10:18Z</dcterms:modified>
</cp:coreProperties>
</file>