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_TransNorthern\Aircraft\Metro III\A - N75TN\Weight and Balance\"/>
    </mc:Choice>
  </mc:AlternateContent>
  <xr:revisionPtr revIDLastSave="0" documentId="13_ncr:1_{F9C56BB6-3D23-4FA2-A50F-2061DA8C1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75SW Pax loads" sheetId="1" r:id="rId1"/>
    <sheet name="N175SW Equal Distb Cargo" sheetId="2" r:id="rId2"/>
    <sheet name="N175SW All areas" sheetId="3" r:id="rId3"/>
  </sheets>
  <definedNames>
    <definedName name="Even_Distb_Ld" localSheetId="2">'N175SW All areas'!$D$12</definedName>
    <definedName name="Even_Distb_Ld">'N175SW Equal Distb Cargo'!$D$12</definedName>
    <definedName name="Loaded_Monent" localSheetId="2">'N175SW All areas'!$S$44</definedName>
    <definedName name="Loaded_Monent" localSheetId="1">'N175SW Equal Distb Cargo'!$S$44</definedName>
    <definedName name="Loaded_Monent" localSheetId="0">'N175SW Pax loads'!$S$44</definedName>
    <definedName name="Max_Ld_Wt." localSheetId="2">'N175SW All areas'!$Q$8</definedName>
    <definedName name="Max_Ld_Wt." localSheetId="1">'N175SW Equal Distb Cargo'!$Q$8</definedName>
    <definedName name="Max_Ld_Wt." localSheetId="0">'N175SW Pax loads'!$Q$8</definedName>
    <definedName name="_xlnm.Print_Area" localSheetId="2">'N175SW All areas'!$D$2:$M$23</definedName>
    <definedName name="_xlnm.Print_Area" localSheetId="1">'N175SW Equal Distb Cargo'!$D$2:$M$24</definedName>
    <definedName name="_xlnm.Print_Area" localSheetId="0">'N175SW Pax loads'!$D$2:$M$24</definedName>
    <definedName name="Take_Off_C.G." localSheetId="2">'N175SW All areas'!$I$18</definedName>
    <definedName name="Take_Off_C.G." localSheetId="1">'N175SW Equal Distb Cargo'!$I$18</definedName>
    <definedName name="Take_Off_C.G." localSheetId="0">'N175SW Pax loads'!$I$18</definedName>
    <definedName name="Take_Off_Wt." localSheetId="2">'N175SW All areas'!$I$16</definedName>
    <definedName name="Take_Off_Wt." localSheetId="1">'N175SW Equal Distb Cargo'!$I$16</definedName>
    <definedName name="Take_Off_Wt." localSheetId="0">'N175SW Pax loads'!$I$16</definedName>
    <definedName name="Z_4F507386_4E6B_4875_9561_87445ECB3559_.wvu.PrintArea" localSheetId="2" hidden="1">'N175SW All areas'!$D$2:$M$23</definedName>
    <definedName name="Z_4F507386_4E6B_4875_9561_87445ECB3559_.wvu.PrintArea" localSheetId="1" hidden="1">'N175SW Equal Distb Cargo'!$D$2:$M$24</definedName>
    <definedName name="Z_4F507386_4E6B_4875_9561_87445ECB3559_.wvu.PrintArea" localSheetId="0" hidden="1">'N175SW Pax loads'!$D$2:$M$24</definedName>
    <definedName name="Z_AF11E29A_50E1_4A26_95AE_CA01C1F61192_.wvu.PrintArea" localSheetId="2" hidden="1">'N175SW All areas'!$D$2:$M$23</definedName>
    <definedName name="Z_AF11E29A_50E1_4A26_95AE_CA01C1F61192_.wvu.PrintArea" localSheetId="1" hidden="1">'N175SW Equal Distb Cargo'!$D$2:$M$24</definedName>
    <definedName name="Z_AF11E29A_50E1_4A26_95AE_CA01C1F61192_.wvu.PrintArea" localSheetId="0" hidden="1">'N175SW Pax loads'!$D$2:$M$24</definedName>
    <definedName name="ZFW" localSheetId="2">'N175SW All areas'!$Q$7</definedName>
    <definedName name="ZFW" localSheetId="1">'N175SW Equal Distb Cargo'!$Q$7</definedName>
    <definedName name="ZFW" localSheetId="0">'N175SW Pax loads'!$Q$7</definedName>
  </definedNames>
  <calcPr calcId="191029"/>
  <customWorkbookViews>
    <customWorkbookView name="Recor - Personal View" guid="{4F507386-4E6B-4875-9561-87445ECB3559}" mergeInterval="0" personalView="1" maximized="1" xWindow="-8" yWindow="-8" windowWidth="2576" windowHeight="1408" activeSheetId="3"/>
    <customWorkbookView name="Alan Larson - Personal View" guid="{AF11E29A-50E1-4A26-95AE-CA01C1F61192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I12" i="1"/>
  <c r="I12" i="3"/>
  <c r="Q39" i="1"/>
  <c r="S39" i="1" s="1"/>
  <c r="Q38" i="1"/>
  <c r="S38" i="1" s="1"/>
  <c r="Q39" i="3"/>
  <c r="Q38" i="3"/>
  <c r="S38" i="3" s="1"/>
  <c r="Z13" i="3"/>
  <c r="AA12" i="3"/>
  <c r="W12" i="3"/>
  <c r="X11" i="3"/>
  <c r="X10" i="3"/>
  <c r="X9" i="3"/>
  <c r="X8" i="3"/>
  <c r="X7" i="3"/>
  <c r="Z13" i="2"/>
  <c r="AA12" i="2"/>
  <c r="W12" i="2"/>
  <c r="X11" i="2"/>
  <c r="X10" i="2"/>
  <c r="X9" i="2"/>
  <c r="Y9" i="2" s="1"/>
  <c r="AA9" i="2" s="1"/>
  <c r="G18" i="2" s="1"/>
  <c r="X8" i="2"/>
  <c r="Y8" i="2" s="1"/>
  <c r="AA8" i="2" s="1"/>
  <c r="G17" i="2" s="1"/>
  <c r="X7" i="2"/>
  <c r="Y7" i="2" s="1"/>
  <c r="AA7" i="2" s="1"/>
  <c r="G16" i="2" s="1"/>
  <c r="Z13" i="1"/>
  <c r="AA12" i="1"/>
  <c r="X7" i="1"/>
  <c r="W12" i="1"/>
  <c r="I9" i="1"/>
  <c r="Y8" i="3" l="1"/>
  <c r="AA8" i="3" s="1"/>
  <c r="Y9" i="3"/>
  <c r="AA9" i="3" s="1"/>
  <c r="Y10" i="3"/>
  <c r="AA10" i="3" s="1"/>
  <c r="Y11" i="3"/>
  <c r="AA11" i="3" s="1"/>
  <c r="Y10" i="2"/>
  <c r="AA10" i="2" s="1"/>
  <c r="G19" i="2" s="1"/>
  <c r="Q38" i="2" s="1"/>
  <c r="Y11" i="2"/>
  <c r="AA11" i="2" s="1"/>
  <c r="G20" i="2" s="1"/>
  <c r="Q39" i="2" s="1"/>
  <c r="S39" i="2" s="1"/>
  <c r="S38" i="2"/>
  <c r="Y7" i="3"/>
  <c r="AA7" i="3"/>
  <c r="Y13" i="2"/>
  <c r="AA13" i="2" s="1"/>
  <c r="X11" i="1"/>
  <c r="X10" i="1"/>
  <c r="Y10" i="1" s="1"/>
  <c r="AA10" i="1" s="1"/>
  <c r="X9" i="1"/>
  <c r="Y9" i="1" s="1"/>
  <c r="AA9" i="1" s="1"/>
  <c r="X8" i="1"/>
  <c r="Y8" i="1" s="1"/>
  <c r="AA8" i="1" s="1"/>
  <c r="Y13" i="3" l="1"/>
  <c r="AA13" i="3" s="1"/>
  <c r="I12" i="2"/>
  <c r="Y11" i="1"/>
  <c r="AA11" i="1" s="1"/>
  <c r="Y7" i="1"/>
  <c r="M99" i="3"/>
  <c r="M98" i="3"/>
  <c r="M97" i="3"/>
  <c r="M96" i="3"/>
  <c r="O95" i="3"/>
  <c r="M95" i="3"/>
  <c r="M94" i="3"/>
  <c r="O93" i="3"/>
  <c r="M93" i="3"/>
  <c r="M92" i="3"/>
  <c r="O91" i="3"/>
  <c r="M91" i="3"/>
  <c r="M90" i="3"/>
  <c r="O89" i="3"/>
  <c r="M89" i="3"/>
  <c r="M88" i="3"/>
  <c r="O87" i="3"/>
  <c r="M87" i="3"/>
  <c r="M86" i="3"/>
  <c r="O85" i="3"/>
  <c r="M85" i="3"/>
  <c r="M84" i="3"/>
  <c r="O83" i="3"/>
  <c r="M83" i="3"/>
  <c r="M82" i="3"/>
  <c r="O81" i="3"/>
  <c r="M81" i="3"/>
  <c r="M80" i="3"/>
  <c r="O79" i="3"/>
  <c r="M79" i="3"/>
  <c r="M78" i="3"/>
  <c r="O77" i="3"/>
  <c r="M77" i="3"/>
  <c r="M76" i="3"/>
  <c r="O75" i="3"/>
  <c r="M75" i="3"/>
  <c r="M74" i="3"/>
  <c r="O73" i="3"/>
  <c r="M73" i="3"/>
  <c r="M72" i="3"/>
  <c r="Q72" i="3"/>
  <c r="O71" i="3"/>
  <c r="M71" i="3"/>
  <c r="Q71" i="3"/>
  <c r="M70" i="3"/>
  <c r="Q70" i="3"/>
  <c r="O69" i="3"/>
  <c r="M69" i="3"/>
  <c r="M68" i="3"/>
  <c r="O67" i="3"/>
  <c r="M67" i="3"/>
  <c r="M66" i="3"/>
  <c r="O65" i="3"/>
  <c r="M65" i="3"/>
  <c r="M64" i="3"/>
  <c r="O63" i="3"/>
  <c r="M63" i="3"/>
  <c r="M62" i="3"/>
  <c r="O61" i="3"/>
  <c r="M61" i="3"/>
  <c r="M60" i="3"/>
  <c r="O59" i="3"/>
  <c r="M59" i="3"/>
  <c r="Q59" i="3"/>
  <c r="M58" i="3"/>
  <c r="Q58" i="3"/>
  <c r="R66" i="3" s="1"/>
  <c r="M57" i="3"/>
  <c r="Q57" i="3"/>
  <c r="M56" i="3"/>
  <c r="Q56" i="3"/>
  <c r="M55" i="3"/>
  <c r="Q55" i="3"/>
  <c r="Q54" i="3"/>
  <c r="Q53" i="3"/>
  <c r="Q52" i="3"/>
  <c r="Q51" i="3"/>
  <c r="R67" i="3" s="1"/>
  <c r="S67" i="3" s="1"/>
  <c r="Q49" i="3"/>
  <c r="D44" i="3"/>
  <c r="R22" i="3" s="1"/>
  <c r="R43" i="3"/>
  <c r="Q43" i="3"/>
  <c r="Q42" i="3"/>
  <c r="R49" i="3" s="1"/>
  <c r="Q41" i="3"/>
  <c r="R72" i="3" s="1"/>
  <c r="Q40" i="3"/>
  <c r="R50" i="3" s="1"/>
  <c r="S50" i="3" s="1"/>
  <c r="Q34" i="3"/>
  <c r="R51" i="3" s="1"/>
  <c r="Q33" i="3"/>
  <c r="S33" i="3" s="1"/>
  <c r="Q32" i="3"/>
  <c r="S32" i="3" s="1"/>
  <c r="Q31" i="3"/>
  <c r="S31" i="3" s="1"/>
  <c r="Q30" i="3"/>
  <c r="S30" i="3" s="1"/>
  <c r="Q29" i="3"/>
  <c r="S29" i="3" s="1"/>
  <c r="Q28" i="3"/>
  <c r="R57" i="3" s="1"/>
  <c r="Q27" i="3"/>
  <c r="S27" i="3" s="1"/>
  <c r="Q26" i="3"/>
  <c r="R55" i="3" s="1"/>
  <c r="Q25" i="3"/>
  <c r="R54" i="3" s="1"/>
  <c r="Q24" i="3"/>
  <c r="R53" i="3" s="1"/>
  <c r="G23" i="3"/>
  <c r="I22" i="3"/>
  <c r="K22" i="3" s="1"/>
  <c r="Q37" i="3"/>
  <c r="Q36" i="3"/>
  <c r="Q35" i="3"/>
  <c r="I15" i="3"/>
  <c r="I14" i="3"/>
  <c r="I9" i="3"/>
  <c r="Q22" i="3" s="1"/>
  <c r="G4" i="3"/>
  <c r="I10" i="3" s="1"/>
  <c r="Y13" i="1" l="1"/>
  <c r="AA13" i="1" s="1"/>
  <c r="AA7" i="1"/>
  <c r="S51" i="3"/>
  <c r="S72" i="3"/>
  <c r="I21" i="3"/>
  <c r="K21" i="3" s="1"/>
  <c r="S54" i="3"/>
  <c r="S53" i="3"/>
  <c r="S42" i="3"/>
  <c r="S28" i="3"/>
  <c r="S43" i="3"/>
  <c r="S40" i="3"/>
  <c r="S55" i="3"/>
  <c r="S26" i="3"/>
  <c r="Q23" i="3"/>
  <c r="R52" i="3" s="1"/>
  <c r="S52" i="3" s="1"/>
  <c r="S24" i="3"/>
  <c r="R58" i="3"/>
  <c r="S58" i="3" s="1"/>
  <c r="S35" i="3"/>
  <c r="S39" i="3"/>
  <c r="R71" i="3"/>
  <c r="S71" i="3" s="1"/>
  <c r="R68" i="3"/>
  <c r="S68" i="3" s="1"/>
  <c r="R70" i="3"/>
  <c r="S70" i="3" s="1"/>
  <c r="S37" i="3"/>
  <c r="S57" i="3"/>
  <c r="S22" i="3"/>
  <c r="R59" i="3"/>
  <c r="S59" i="3" s="1"/>
  <c r="S36" i="3"/>
  <c r="S49" i="3"/>
  <c r="R56" i="3"/>
  <c r="S56" i="3" s="1"/>
  <c r="S25" i="3"/>
  <c r="S66" i="3"/>
  <c r="R69" i="3"/>
  <c r="S69" i="3" s="1"/>
  <c r="D43" i="3"/>
  <c r="I11" i="3"/>
  <c r="S34" i="3"/>
  <c r="S41" i="3"/>
  <c r="S23" i="3" l="1"/>
  <c r="S44" i="3" s="1"/>
  <c r="Q44" i="3"/>
  <c r="I16" i="3" s="1"/>
  <c r="M13" i="3" s="1"/>
  <c r="I13" i="3"/>
  <c r="J13" i="3" s="1"/>
  <c r="S73" i="3"/>
  <c r="S76" i="3" s="1"/>
  <c r="M19" i="3" s="1"/>
  <c r="S60" i="3"/>
  <c r="S63" i="3" s="1"/>
  <c r="M17" i="3" s="1"/>
  <c r="R60" i="3"/>
  <c r="R62" i="3" s="1"/>
  <c r="M18" i="3" s="1"/>
  <c r="R73" i="3"/>
  <c r="R75" i="3" s="1"/>
  <c r="M21" i="3" s="1"/>
  <c r="M99" i="1"/>
  <c r="M98" i="1"/>
  <c r="M97" i="1"/>
  <c r="M96" i="1"/>
  <c r="O95" i="1"/>
  <c r="M95" i="1"/>
  <c r="M94" i="1"/>
  <c r="O93" i="1"/>
  <c r="M93" i="1"/>
  <c r="M92" i="1"/>
  <c r="O91" i="1"/>
  <c r="M91" i="1"/>
  <c r="M90" i="1"/>
  <c r="O89" i="1"/>
  <c r="M89" i="1"/>
  <c r="M88" i="1"/>
  <c r="O87" i="1"/>
  <c r="M87" i="1"/>
  <c r="M86" i="1"/>
  <c r="O85" i="1"/>
  <c r="M85" i="1"/>
  <c r="M84" i="1"/>
  <c r="O83" i="1"/>
  <c r="M83" i="1"/>
  <c r="M82" i="1"/>
  <c r="O81" i="1"/>
  <c r="M81" i="1"/>
  <c r="M80" i="1"/>
  <c r="O79" i="1"/>
  <c r="M79" i="1"/>
  <c r="M78" i="1"/>
  <c r="O77" i="1"/>
  <c r="M77" i="1"/>
  <c r="M76" i="1"/>
  <c r="O75" i="1"/>
  <c r="M75" i="1"/>
  <c r="M74" i="1"/>
  <c r="O73" i="1"/>
  <c r="R43" i="1" s="1"/>
  <c r="M73" i="1"/>
  <c r="M72" i="1"/>
  <c r="Q72" i="1"/>
  <c r="O71" i="1"/>
  <c r="M71" i="1"/>
  <c r="Q71" i="1"/>
  <c r="M70" i="1"/>
  <c r="Q70" i="1"/>
  <c r="O69" i="1"/>
  <c r="M69" i="1"/>
  <c r="M68" i="1"/>
  <c r="O67" i="1"/>
  <c r="M67" i="1"/>
  <c r="M66" i="1"/>
  <c r="O65" i="1"/>
  <c r="M65" i="1"/>
  <c r="M64" i="1"/>
  <c r="O63" i="1"/>
  <c r="M63" i="1"/>
  <c r="M62" i="1"/>
  <c r="O61" i="1"/>
  <c r="M61" i="1"/>
  <c r="M60" i="1"/>
  <c r="O59" i="1"/>
  <c r="M59" i="1"/>
  <c r="Q59" i="1"/>
  <c r="M58" i="1"/>
  <c r="Q58" i="1"/>
  <c r="R66" i="1" s="1"/>
  <c r="M57" i="1"/>
  <c r="Q57" i="1"/>
  <c r="M56" i="1"/>
  <c r="Q56" i="1"/>
  <c r="M55" i="1"/>
  <c r="Q55" i="1"/>
  <c r="Q54" i="1"/>
  <c r="Q53" i="1"/>
  <c r="Q52" i="1"/>
  <c r="Q51" i="1"/>
  <c r="R67" i="1" s="1"/>
  <c r="S67" i="1" s="1"/>
  <c r="Q49" i="1"/>
  <c r="D44" i="1"/>
  <c r="R22" i="1" s="1"/>
  <c r="Q43" i="1"/>
  <c r="Q42" i="1"/>
  <c r="R49" i="1" s="1"/>
  <c r="Q41" i="1"/>
  <c r="R72" i="1" s="1"/>
  <c r="Q40" i="1"/>
  <c r="R50" i="1" s="1"/>
  <c r="S50" i="1" s="1"/>
  <c r="Q37" i="1"/>
  <c r="R70" i="1" s="1"/>
  <c r="Q36" i="1"/>
  <c r="R59" i="1" s="1"/>
  <c r="Q35" i="1"/>
  <c r="R58" i="1" s="1"/>
  <c r="Q34" i="1"/>
  <c r="R51" i="1" s="1"/>
  <c r="Q33" i="1"/>
  <c r="S33" i="1" s="1"/>
  <c r="Q32" i="1"/>
  <c r="S32" i="1" s="1"/>
  <c r="Q31" i="1"/>
  <c r="S31" i="1" s="1"/>
  <c r="Q30" i="1"/>
  <c r="S30" i="1" s="1"/>
  <c r="Q29" i="1"/>
  <c r="S29" i="1" s="1"/>
  <c r="Q28" i="1"/>
  <c r="R57" i="1" s="1"/>
  <c r="Q27" i="1"/>
  <c r="R56" i="1" s="1"/>
  <c r="Q26" i="1"/>
  <c r="R55" i="1" s="1"/>
  <c r="Q25" i="1"/>
  <c r="R54" i="1" s="1"/>
  <c r="Q24" i="1"/>
  <c r="R53" i="1" s="1"/>
  <c r="G23" i="1"/>
  <c r="I22" i="1"/>
  <c r="K22" i="1" s="1"/>
  <c r="I15" i="1"/>
  <c r="I14" i="1"/>
  <c r="I10" i="1"/>
  <c r="I11" i="1" s="1"/>
  <c r="I31" i="3" l="1"/>
  <c r="J16" i="3" s="1"/>
  <c r="C99" i="3"/>
  <c r="C98" i="3" s="1"/>
  <c r="C97" i="3" s="1"/>
  <c r="C96" i="3" s="1"/>
  <c r="C95" i="3" s="1"/>
  <c r="C94" i="3" s="1"/>
  <c r="C93" i="3" s="1"/>
  <c r="C92" i="3" s="1"/>
  <c r="C91" i="3" s="1"/>
  <c r="C90" i="3" s="1"/>
  <c r="C89" i="3" s="1"/>
  <c r="C88" i="3" s="1"/>
  <c r="C87" i="3" s="1"/>
  <c r="C86" i="3" s="1"/>
  <c r="C85" i="3" s="1"/>
  <c r="C84" i="3" s="1"/>
  <c r="C83" i="3" s="1"/>
  <c r="C82" i="3" s="1"/>
  <c r="C81" i="3" s="1"/>
  <c r="C80" i="3" s="1"/>
  <c r="C79" i="3" s="1"/>
  <c r="C78" i="3" s="1"/>
  <c r="C77" i="3" s="1"/>
  <c r="C76" i="3" s="1"/>
  <c r="C75" i="3" s="1"/>
  <c r="C74" i="3" s="1"/>
  <c r="C73" i="3" s="1"/>
  <c r="C72" i="3" s="1"/>
  <c r="C71" i="3" s="1"/>
  <c r="C70" i="3" s="1"/>
  <c r="C69" i="3" s="1"/>
  <c r="C68" i="3" s="1"/>
  <c r="C67" i="3" s="1"/>
  <c r="C66" i="3" s="1"/>
  <c r="C65" i="3" s="1"/>
  <c r="C64" i="3" s="1"/>
  <c r="C63" i="3" s="1"/>
  <c r="C62" i="3" s="1"/>
  <c r="C61" i="3" s="1"/>
  <c r="C60" i="3" s="1"/>
  <c r="C59" i="3" s="1"/>
  <c r="C58" i="3" s="1"/>
  <c r="C57" i="3" s="1"/>
  <c r="C56" i="3" s="1"/>
  <c r="C55" i="3" s="1"/>
  <c r="C54" i="3" s="1"/>
  <c r="C53" i="3" s="1"/>
  <c r="C52" i="3" s="1"/>
  <c r="C51" i="3" s="1"/>
  <c r="C50" i="3" s="1"/>
  <c r="C49" i="3" s="1"/>
  <c r="C48" i="3" s="1"/>
  <c r="C47" i="3" s="1"/>
  <c r="C46" i="3" s="1"/>
  <c r="C45" i="3" s="1"/>
  <c r="I17" i="3" s="1"/>
  <c r="M52" i="3"/>
  <c r="C100" i="3"/>
  <c r="I32" i="3"/>
  <c r="I28" i="3"/>
  <c r="I19" i="3" s="1"/>
  <c r="K12" i="3"/>
  <c r="R44" i="3"/>
  <c r="I18" i="3" s="1"/>
  <c r="S43" i="1"/>
  <c r="S72" i="1"/>
  <c r="S54" i="1"/>
  <c r="S51" i="1"/>
  <c r="S27" i="1"/>
  <c r="S58" i="1"/>
  <c r="I21" i="1"/>
  <c r="K21" i="1" s="1"/>
  <c r="S56" i="1"/>
  <c r="S53" i="1"/>
  <c r="I13" i="1"/>
  <c r="J13" i="1" s="1"/>
  <c r="S70" i="1"/>
  <c r="S25" i="1"/>
  <c r="S26" i="1"/>
  <c r="S24" i="1"/>
  <c r="S57" i="1"/>
  <c r="S59" i="1"/>
  <c r="S55" i="1"/>
  <c r="S66" i="1"/>
  <c r="S49" i="1"/>
  <c r="Q22" i="1"/>
  <c r="Q23" i="1"/>
  <c r="S28" i="1"/>
  <c r="S35" i="1"/>
  <c r="S37" i="1"/>
  <c r="S40" i="1"/>
  <c r="S42" i="1"/>
  <c r="R71" i="1"/>
  <c r="S71" i="1" s="1"/>
  <c r="D43" i="1"/>
  <c r="R68" i="1"/>
  <c r="S68" i="1" s="1"/>
  <c r="R69" i="1"/>
  <c r="S69" i="1" s="1"/>
  <c r="S34" i="1"/>
  <c r="S36" i="1"/>
  <c r="S41" i="1"/>
  <c r="Q41" i="2"/>
  <c r="S41" i="2" s="1"/>
  <c r="Q40" i="2"/>
  <c r="D64" i="3" l="1"/>
  <c r="K18" i="3" s="1"/>
  <c r="R52" i="1"/>
  <c r="S23" i="1"/>
  <c r="Q44" i="1"/>
  <c r="I16" i="1" s="1"/>
  <c r="S22" i="1"/>
  <c r="S73" i="1"/>
  <c r="S76" i="1" s="1"/>
  <c r="M19" i="1" s="1"/>
  <c r="R73" i="1"/>
  <c r="R75" i="1" s="1"/>
  <c r="M21" i="1" s="1"/>
  <c r="I15" i="2"/>
  <c r="D44" i="2"/>
  <c r="R22" i="2" s="1"/>
  <c r="I9" i="2"/>
  <c r="S44" i="1" l="1"/>
  <c r="R44" i="1" s="1"/>
  <c r="I18" i="1" s="1"/>
  <c r="M13" i="1"/>
  <c r="C100" i="1"/>
  <c r="C99" i="1" s="1"/>
  <c r="C98" i="1" s="1"/>
  <c r="C97" i="1" s="1"/>
  <c r="C96" i="1" s="1"/>
  <c r="C95" i="1" s="1"/>
  <c r="C94" i="1" s="1"/>
  <c r="C93" i="1" s="1"/>
  <c r="C92" i="1" s="1"/>
  <c r="C91" i="1" s="1"/>
  <c r="C90" i="1" s="1"/>
  <c r="C89" i="1" s="1"/>
  <c r="C88" i="1" s="1"/>
  <c r="C87" i="1" s="1"/>
  <c r="C86" i="1" s="1"/>
  <c r="C85" i="1" s="1"/>
  <c r="C84" i="1" s="1"/>
  <c r="C83" i="1" s="1"/>
  <c r="C82" i="1" s="1"/>
  <c r="C81" i="1" s="1"/>
  <c r="C80" i="1" s="1"/>
  <c r="C79" i="1" s="1"/>
  <c r="C78" i="1" s="1"/>
  <c r="C77" i="1" s="1"/>
  <c r="C76" i="1" s="1"/>
  <c r="C75" i="1" s="1"/>
  <c r="C74" i="1" s="1"/>
  <c r="C73" i="1" s="1"/>
  <c r="C72" i="1" s="1"/>
  <c r="C71" i="1" s="1"/>
  <c r="C70" i="1" s="1"/>
  <c r="C69" i="1" s="1"/>
  <c r="C68" i="1" s="1"/>
  <c r="C67" i="1" s="1"/>
  <c r="C66" i="1" s="1"/>
  <c r="C65" i="1" s="1"/>
  <c r="C64" i="1" s="1"/>
  <c r="C63" i="1" s="1"/>
  <c r="C62" i="1" s="1"/>
  <c r="C61" i="1" s="1"/>
  <c r="C60" i="1" s="1"/>
  <c r="C59" i="1" s="1"/>
  <c r="C58" i="1" s="1"/>
  <c r="C57" i="1" s="1"/>
  <c r="C56" i="1" s="1"/>
  <c r="C55" i="1" s="1"/>
  <c r="C54" i="1" s="1"/>
  <c r="C53" i="1" s="1"/>
  <c r="C52" i="1" s="1"/>
  <c r="C51" i="1" s="1"/>
  <c r="C50" i="1" s="1"/>
  <c r="C49" i="1" s="1"/>
  <c r="C48" i="1" s="1"/>
  <c r="C47" i="1" s="1"/>
  <c r="C46" i="1" s="1"/>
  <c r="C45" i="1" s="1"/>
  <c r="I17" i="1" s="1"/>
  <c r="I28" i="1"/>
  <c r="I19" i="1" s="1"/>
  <c r="I31" i="1"/>
  <c r="J16" i="1" s="1"/>
  <c r="M52" i="1"/>
  <c r="I32" i="1"/>
  <c r="K12" i="1"/>
  <c r="S52" i="1"/>
  <c r="S60" i="1" s="1"/>
  <c r="S63" i="1" s="1"/>
  <c r="M17" i="1" s="1"/>
  <c r="R60" i="1"/>
  <c r="R62" i="1" s="1"/>
  <c r="M18" i="1" s="1"/>
  <c r="I10" i="2"/>
  <c r="I11" i="2" s="1"/>
  <c r="Q72" i="2"/>
  <c r="Q71" i="2"/>
  <c r="Q70" i="2"/>
  <c r="Q59" i="2"/>
  <c r="Q58" i="2"/>
  <c r="R66" i="2" s="1"/>
  <c r="S66" i="2" s="1"/>
  <c r="Q57" i="2"/>
  <c r="Q56" i="2"/>
  <c r="Q55" i="2"/>
  <c r="Q54" i="2"/>
  <c r="Q53" i="2"/>
  <c r="Q52" i="2"/>
  <c r="Q51" i="2"/>
  <c r="R67" i="2" s="1"/>
  <c r="S67" i="2" s="1"/>
  <c r="Q49" i="2"/>
  <c r="I22" i="2"/>
  <c r="K22" i="2" s="1"/>
  <c r="S40" i="2"/>
  <c r="Q24" i="2"/>
  <c r="S24" i="2" s="1"/>
  <c r="Q25" i="2"/>
  <c r="S25" i="2" s="1"/>
  <c r="Q26" i="2"/>
  <c r="S26" i="2" s="1"/>
  <c r="Q27" i="2"/>
  <c r="S27" i="2" s="1"/>
  <c r="Q28" i="2"/>
  <c r="S28" i="2" s="1"/>
  <c r="Q29" i="2"/>
  <c r="S29" i="2" s="1"/>
  <c r="Q30" i="2"/>
  <c r="S30" i="2" s="1"/>
  <c r="Q31" i="2"/>
  <c r="S31" i="2" s="1"/>
  <c r="Q32" i="2"/>
  <c r="S32" i="2" s="1"/>
  <c r="Q33" i="2"/>
  <c r="S33" i="2" s="1"/>
  <c r="Q34" i="2"/>
  <c r="S34" i="2" s="1"/>
  <c r="D64" i="1" l="1"/>
  <c r="K18" i="1" s="1"/>
  <c r="R72" i="2"/>
  <c r="S72" i="2" s="1"/>
  <c r="R50" i="2"/>
  <c r="S50" i="2" s="1"/>
  <c r="R69" i="2"/>
  <c r="S69" i="2" s="1"/>
  <c r="R57" i="2"/>
  <c r="S57" i="2" s="1"/>
  <c r="R56" i="2"/>
  <c r="S56" i="2" s="1"/>
  <c r="R55" i="2"/>
  <c r="S55" i="2" s="1"/>
  <c r="R54" i="2"/>
  <c r="S54" i="2" s="1"/>
  <c r="R53" i="2"/>
  <c r="S53" i="2" s="1"/>
  <c r="R51" i="2"/>
  <c r="I21" i="2"/>
  <c r="K21" i="2" s="1"/>
  <c r="Q23" i="2"/>
  <c r="G23" i="2"/>
  <c r="Q36" i="2"/>
  <c r="Q37" i="2"/>
  <c r="Q42" i="2"/>
  <c r="M55" i="2"/>
  <c r="M56" i="2"/>
  <c r="M57" i="2"/>
  <c r="M58" i="2"/>
  <c r="M59" i="2"/>
  <c r="O59" i="2"/>
  <c r="M60" i="2"/>
  <c r="M61" i="2"/>
  <c r="O61" i="2"/>
  <c r="M62" i="2"/>
  <c r="M63" i="2"/>
  <c r="O63" i="2"/>
  <c r="M64" i="2"/>
  <c r="M65" i="2"/>
  <c r="O65" i="2"/>
  <c r="M66" i="2"/>
  <c r="M67" i="2"/>
  <c r="O67" i="2"/>
  <c r="M68" i="2"/>
  <c r="M69" i="2"/>
  <c r="O69" i="2"/>
  <c r="M70" i="2"/>
  <c r="M71" i="2"/>
  <c r="O71" i="2"/>
  <c r="M72" i="2"/>
  <c r="M73" i="2"/>
  <c r="O73" i="2"/>
  <c r="M74" i="2"/>
  <c r="M75" i="2"/>
  <c r="O75" i="2"/>
  <c r="M76" i="2"/>
  <c r="M77" i="2"/>
  <c r="O77" i="2"/>
  <c r="M78" i="2"/>
  <c r="M79" i="2"/>
  <c r="O79" i="2"/>
  <c r="M80" i="2"/>
  <c r="M81" i="2"/>
  <c r="O81" i="2"/>
  <c r="M82" i="2"/>
  <c r="M83" i="2"/>
  <c r="O83" i="2"/>
  <c r="R43" i="2" s="1"/>
  <c r="M84" i="2"/>
  <c r="M85" i="2"/>
  <c r="O85" i="2"/>
  <c r="M86" i="2"/>
  <c r="M87" i="2"/>
  <c r="O87" i="2"/>
  <c r="M88" i="2"/>
  <c r="M89" i="2"/>
  <c r="O89" i="2"/>
  <c r="M90" i="2"/>
  <c r="M91" i="2"/>
  <c r="O91" i="2"/>
  <c r="M92" i="2"/>
  <c r="M93" i="2"/>
  <c r="O93" i="2"/>
  <c r="M94" i="2"/>
  <c r="M95" i="2"/>
  <c r="O95" i="2"/>
  <c r="M96" i="2"/>
  <c r="M97" i="2"/>
  <c r="M98" i="2"/>
  <c r="M99" i="2"/>
  <c r="I14" i="2"/>
  <c r="Q43" i="2"/>
  <c r="S37" i="2" l="1"/>
  <c r="R70" i="2"/>
  <c r="R52" i="2"/>
  <c r="S52" i="2" s="1"/>
  <c r="S51" i="2"/>
  <c r="S36" i="2"/>
  <c r="R59" i="2"/>
  <c r="S59" i="2" s="1"/>
  <c r="S42" i="2"/>
  <c r="R49" i="2"/>
  <c r="S49" i="2" s="1"/>
  <c r="S43" i="2"/>
  <c r="S23" i="2"/>
  <c r="Q22" i="2"/>
  <c r="D43" i="2"/>
  <c r="S70" i="2" l="1"/>
  <c r="S22" i="2"/>
  <c r="I13" i="2" l="1"/>
  <c r="J13" i="2" s="1"/>
  <c r="R71" i="2"/>
  <c r="S71" i="2" s="1"/>
  <c r="H29" i="2"/>
  <c r="R68" i="2"/>
  <c r="Q35" i="2"/>
  <c r="S35" i="2" l="1"/>
  <c r="S44" i="2" s="1"/>
  <c r="Q44" i="2"/>
  <c r="I16" i="2" s="1"/>
  <c r="R58" i="2"/>
  <c r="S68" i="2"/>
  <c r="S73" i="2" s="1"/>
  <c r="S76" i="2" s="1"/>
  <c r="M19" i="2" s="1"/>
  <c r="R73" i="2"/>
  <c r="R75" i="2" s="1"/>
  <c r="M21" i="2" s="1"/>
  <c r="R44" i="2" l="1"/>
  <c r="I18" i="2" s="1"/>
  <c r="R60" i="2"/>
  <c r="R62" i="2" s="1"/>
  <c r="M18" i="2" s="1"/>
  <c r="S58" i="2"/>
  <c r="S60" i="2" s="1"/>
  <c r="S63" i="2" s="1"/>
  <c r="M17" i="2" s="1"/>
  <c r="I28" i="2"/>
  <c r="I19" i="2" s="1"/>
  <c r="M52" i="2"/>
  <c r="C100" i="2"/>
  <c r="C99" i="2" s="1"/>
  <c r="C98" i="2" s="1"/>
  <c r="C97" i="2" s="1"/>
  <c r="C96" i="2" s="1"/>
  <c r="C95" i="2" s="1"/>
  <c r="C94" i="2" s="1"/>
  <c r="C93" i="2" s="1"/>
  <c r="C92" i="2" s="1"/>
  <c r="C91" i="2" s="1"/>
  <c r="C90" i="2" s="1"/>
  <c r="C89" i="2" s="1"/>
  <c r="C88" i="2" s="1"/>
  <c r="C87" i="2" s="1"/>
  <c r="C86" i="2" s="1"/>
  <c r="C85" i="2" s="1"/>
  <c r="C84" i="2" s="1"/>
  <c r="C83" i="2" s="1"/>
  <c r="C82" i="2" s="1"/>
  <c r="C81" i="2" s="1"/>
  <c r="C80" i="2" s="1"/>
  <c r="C79" i="2" s="1"/>
  <c r="C78" i="2" s="1"/>
  <c r="C77" i="2" s="1"/>
  <c r="C76" i="2" s="1"/>
  <c r="C75" i="2" s="1"/>
  <c r="C74" i="2" s="1"/>
  <c r="C73" i="2" s="1"/>
  <c r="C72" i="2" s="1"/>
  <c r="C71" i="2" s="1"/>
  <c r="C70" i="2" s="1"/>
  <c r="C69" i="2" s="1"/>
  <c r="C68" i="2" s="1"/>
  <c r="C67" i="2" s="1"/>
  <c r="C66" i="2" s="1"/>
  <c r="C65" i="2" s="1"/>
  <c r="C64" i="2" s="1"/>
  <c r="C63" i="2" s="1"/>
  <c r="C62" i="2" s="1"/>
  <c r="C61" i="2" s="1"/>
  <c r="C60" i="2" s="1"/>
  <c r="C59" i="2" s="1"/>
  <c r="C58" i="2" s="1"/>
  <c r="C57" i="2" s="1"/>
  <c r="C56" i="2" s="1"/>
  <c r="C55" i="2" s="1"/>
  <c r="C54" i="2" s="1"/>
  <c r="C53" i="2" s="1"/>
  <c r="C52" i="2" s="1"/>
  <c r="C51" i="2" s="1"/>
  <c r="C50" i="2" s="1"/>
  <c r="C49" i="2" s="1"/>
  <c r="C48" i="2" s="1"/>
  <c r="C47" i="2" s="1"/>
  <c r="C46" i="2" s="1"/>
  <c r="C45" i="2" s="1"/>
  <c r="I17" i="2" s="1"/>
  <c r="D64" i="2" s="1"/>
  <c r="K18" i="2" s="1"/>
  <c r="I31" i="2"/>
  <c r="J16" i="2" s="1"/>
  <c r="K12" i="2"/>
  <c r="M13" i="2"/>
  <c r="I32" i="2"/>
</calcChain>
</file>

<file path=xl/sharedStrings.xml><?xml version="1.0" encoding="utf-8"?>
<sst xmlns="http://schemas.openxmlformats.org/spreadsheetml/2006/main" count="571" uniqueCount="181">
  <si>
    <t>Crew</t>
  </si>
  <si>
    <t>Proposed Flt Time</t>
  </si>
  <si>
    <t>(Min.)</t>
  </si>
  <si>
    <t>No. of T.O.s</t>
  </si>
  <si>
    <t>Row 1</t>
  </si>
  <si>
    <t>A/C Type</t>
  </si>
  <si>
    <t>Survival Gear</t>
  </si>
  <si>
    <t>Row 2</t>
  </si>
  <si>
    <t>A/C Number</t>
  </si>
  <si>
    <t>"Nose" or "Aft"</t>
  </si>
  <si>
    <t>Row 3</t>
  </si>
  <si>
    <t>Seat Config.</t>
  </si>
  <si>
    <t>Row 4</t>
  </si>
  <si>
    <t>A/C Empty Wt.</t>
  </si>
  <si>
    <t>540# Nose</t>
  </si>
  <si>
    <t>Crew Weight</t>
  </si>
  <si>
    <t>B.O.W.</t>
  </si>
  <si>
    <t>Load Left</t>
  </si>
  <si>
    <t>Zero Fuel Wt.</t>
  </si>
  <si>
    <t>Ramp Fuel</t>
  </si>
  <si>
    <t>Max Gross T.O.</t>
  </si>
  <si>
    <t>Fuel Wt.</t>
  </si>
  <si>
    <t>Take Off Wt.</t>
  </si>
  <si>
    <t>Fuel gal.</t>
  </si>
  <si>
    <t>C.G. Range</t>
  </si>
  <si>
    <t xml:space="preserve"> max fuel = 648 gal = 4,342 lbs</t>
  </si>
  <si>
    <t>Take Off C.G.</t>
  </si>
  <si>
    <t>Minutes</t>
  </si>
  <si>
    <t>Extra IFR Fuel -&gt;</t>
  </si>
  <si>
    <t>Pounds</t>
  </si>
  <si>
    <t>Cruise Fuel Burn -&gt;</t>
  </si>
  <si>
    <t>Lbs/nim</t>
  </si>
  <si>
    <t>T.O. Climb &amp; Descent fuel burn -&gt;</t>
  </si>
  <si>
    <t>Item</t>
  </si>
  <si>
    <t>Weight</t>
  </si>
  <si>
    <t>Arm</t>
  </si>
  <si>
    <t>Mom</t>
  </si>
  <si>
    <t>Landing WT Calc Cell</t>
  </si>
  <si>
    <t>Aircraft</t>
  </si>
  <si>
    <t>Current EW</t>
  </si>
  <si>
    <t xml:space="preserve">C.G. Range </t>
  </si>
  <si>
    <t>Current ECG</t>
  </si>
  <si>
    <t>Wt</t>
  </si>
  <si>
    <t>Fwd Limit</t>
  </si>
  <si>
    <t>Aft Lmt</t>
  </si>
  <si>
    <t>Nose</t>
  </si>
  <si>
    <t>A  - Max 500# &lt;14%&gt;</t>
  </si>
  <si>
    <t>B  - Max 1,600# &lt;28%&gt;</t>
  </si>
  <si>
    <t>C  - Max 1,600# &lt;36%&gt;</t>
  </si>
  <si>
    <t>CAWI</t>
  </si>
  <si>
    <t>Fuel</t>
  </si>
  <si>
    <t>Total --&gt;</t>
  </si>
  <si>
    <t>&lt;--TOTAL Moment</t>
  </si>
  <si>
    <t>Formula --&gt;</t>
  </si>
  <si>
    <t xml:space="preserve">FUEL ARMS </t>
  </si>
  <si>
    <t>US Gallons @6.7#/Gal</t>
  </si>
  <si>
    <t>@ 6.8#/Gal</t>
  </si>
  <si>
    <t>@ 7.1#/Gal</t>
  </si>
  <si>
    <t>(12,500 lbs)</t>
  </si>
  <si>
    <t>A/C Arm</t>
  </si>
  <si>
    <t>Metro IIIB</t>
  </si>
  <si>
    <t>Row 5</t>
  </si>
  <si>
    <t>Row 6</t>
  </si>
  <si>
    <t>Row 7</t>
  </si>
  <si>
    <t>Row 8</t>
  </si>
  <si>
    <t>Row 9</t>
  </si>
  <si>
    <t>Row 10</t>
  </si>
  <si>
    <t>Row 1  Couier seat</t>
  </si>
  <si>
    <t>2 seats   Row 2</t>
  </si>
  <si>
    <t>2 seats   Row 3</t>
  </si>
  <si>
    <t>NOTE:  Only change GREEN Cells.              BLUE cells are calculated</t>
  </si>
  <si>
    <t>N75TN</t>
  </si>
  <si>
    <t xml:space="preserve">  Ref: Metal Box for Seat Config information</t>
  </si>
  <si>
    <t>2 seats   Row 4</t>
  </si>
  <si>
    <t>2 seats   Row 5</t>
  </si>
  <si>
    <t>2 seats   Row 6</t>
  </si>
  <si>
    <t>2 seats   Row 7</t>
  </si>
  <si>
    <t>2 seats   Row 8</t>
  </si>
  <si>
    <t>2 seats   Row 9</t>
  </si>
  <si>
    <t>2 seats   Row 10</t>
  </si>
  <si>
    <t>Bending Momemt Calcs.</t>
  </si>
  <si>
    <t>Nose Survival Gear</t>
  </si>
  <si>
    <t>Aft Survival Gear</t>
  </si>
  <si>
    <t>AWI - 0, 32, 64, or 128 lb</t>
  </si>
  <si>
    <t xml:space="preserve">  Includes CAWI</t>
  </si>
  <si>
    <t>Remaining</t>
  </si>
  <si>
    <t>Load for Ferry</t>
  </si>
  <si>
    <t>Bending Mon</t>
  </si>
  <si>
    <t>ITEM</t>
  </si>
  <si>
    <t>F.S.</t>
  </si>
  <si>
    <t>Mon/1000</t>
  </si>
  <si>
    <t>Fwd Baggage</t>
  </si>
  <si>
    <t>Cargo A</t>
  </si>
  <si>
    <t>Cargo B</t>
  </si>
  <si>
    <t>Totals -&gt;</t>
  </si>
  <si>
    <t>Limits -&gt;</t>
  </si>
  <si>
    <t>Forward Calculations   (fwd of FS 274)</t>
  </si>
  <si>
    <t>AFTCalculations   (aft of FS 310)</t>
  </si>
  <si>
    <t>Cargo C</t>
  </si>
  <si>
    <t>AFT Cargo</t>
  </si>
  <si>
    <t>BH @ 167" &amp; Rollers &amp; Nets</t>
  </si>
  <si>
    <t>11  Seats Row 1 -&gt; 6 BH @ 347"</t>
  </si>
  <si>
    <t>15 Seats Row 1 -&gt; 8  BH @ 377"</t>
  </si>
  <si>
    <t>17 Seats Row 1 -&gt; 9 BH @ 407"</t>
  </si>
  <si>
    <t>19 Seats Row 1 -&gt; 10 BH @ 437</t>
  </si>
  <si>
    <t>Cargo Rollers</t>
  </si>
  <si>
    <t>47 lb</t>
  </si>
  <si>
    <t>37 lb</t>
  </si>
  <si>
    <t xml:space="preserve">Max Gross Wt. </t>
  </si>
  <si>
    <t>Max ZFQ</t>
  </si>
  <si>
    <t>Max Landing Wt.</t>
  </si>
  <si>
    <t>Seat Weight ea.</t>
  </si>
  <si>
    <t>Stuctural Bulkhead</t>
  </si>
  <si>
    <t>21 person Survival Gear</t>
  </si>
  <si>
    <t>Courier Seat Row 1</t>
  </si>
  <si>
    <t>MAX RAMP WT - 16,100#s</t>
  </si>
  <si>
    <t>Taxi Time Calc</t>
  </si>
  <si>
    <t>Formula to burn fuel</t>
  </si>
  <si>
    <t>!! BURN TAXI FUEL !!</t>
  </si>
  <si>
    <t>Even Distb Ld</t>
  </si>
  <si>
    <t>Calculated Fuel gallons -&gt;</t>
  </si>
  <si>
    <t>&lt;- Fuel Burn this trip</t>
  </si>
  <si>
    <t>Payload -&gt;</t>
  </si>
  <si>
    <t>13,900 Max</t>
  </si>
  <si>
    <t>9 Seats Row 1 -&gt; 5 BH at 347"</t>
  </si>
  <si>
    <t>AWI - 0, 32, 64, or 128#</t>
  </si>
  <si>
    <t>Arms for Calculations</t>
  </si>
  <si>
    <t>0.147</t>
  </si>
  <si>
    <t>B  - Max 1,600# &lt;29%&gt;</t>
  </si>
  <si>
    <t>C  - Max 1,600# &lt;35%&gt;</t>
  </si>
  <si>
    <t xml:space="preserve"> Max. 500# 14% - A</t>
  </si>
  <si>
    <t>Max. 1600# 29% - B</t>
  </si>
  <si>
    <t>Max. 1600# 35% -  C</t>
  </si>
  <si>
    <t>comp</t>
  </si>
  <si>
    <t>size</t>
  </si>
  <si>
    <t>Compartment length -&gt;</t>
  </si>
  <si>
    <t>%</t>
  </si>
  <si>
    <t>0.298</t>
  </si>
  <si>
    <t>0.35</t>
  </si>
  <si>
    <t>0.205</t>
  </si>
  <si>
    <t>In USE</t>
  </si>
  <si>
    <t>Max Equal Distributed Load 3,300#s</t>
  </si>
  <si>
    <t>Note:  When combining A &amp; B zones limit is 1,600#s at F.S. 242 (41% Volume)</t>
  </si>
  <si>
    <t>Confi #</t>
  </si>
  <si>
    <t>A/C Wt.</t>
  </si>
  <si>
    <t xml:space="preserve">     Description</t>
  </si>
  <si>
    <t>Courier seat, BH @ 167" &amp; Rollers &amp; Nets</t>
  </si>
  <si>
    <t>R</t>
  </si>
  <si>
    <t>Min Flt Time-&gt;</t>
  </si>
  <si>
    <t>TransNorthern   Metro III   N175SW</t>
  </si>
  <si>
    <t>N175SW</t>
  </si>
  <si>
    <t>AC WT Date:</t>
  </si>
  <si>
    <t>AC WT Mod Date:</t>
  </si>
  <si>
    <t>Life Rafts and other carry on baggage may be secured by seatblet and weight listed in seat area</t>
  </si>
  <si>
    <t>40 lb each</t>
  </si>
  <si>
    <t xml:space="preserve">Cargo Nets </t>
  </si>
  <si>
    <t>6 lb each</t>
  </si>
  <si>
    <t>4 total</t>
  </si>
  <si>
    <t>2 total</t>
  </si>
  <si>
    <t>(MT props)</t>
  </si>
  <si>
    <t>Max. 500# 15%- AFT "A"</t>
  </si>
  <si>
    <t>Max. 200# 7%- AFT "B"</t>
  </si>
  <si>
    <t>Note:  Reference AFM  Section 5 for passenger and loading info.  Be sure bulkhead or Cargo Net is located at Sta. 437 and 492 for correct AFT CARGO  Loading</t>
  </si>
  <si>
    <t>Zone A</t>
  </si>
  <si>
    <t>Zone B</t>
  </si>
  <si>
    <t>Zone C</t>
  </si>
  <si>
    <t>AFT Cargo A</t>
  </si>
  <si>
    <t>AFT CARGO B</t>
  </si>
  <si>
    <t>FWD BH</t>
  </si>
  <si>
    <t>Max. 200# 8%- AFT "B"</t>
  </si>
  <si>
    <t>Aft "A" Max -500# &lt;22%&gt;</t>
  </si>
  <si>
    <t>Aft "B" Max - 680# &lt;22%&gt;</t>
  </si>
  <si>
    <t>Courier Seat (p91) Row 1</t>
  </si>
  <si>
    <t>NOTE:  Only change GREEN Cells.              BLUE cells are calculated.   Sheet is Locked with no password</t>
  </si>
  <si>
    <t>.       Seat Configuration Chart</t>
  </si>
  <si>
    <t>5 Seats  Row 1&gt;-3  Cargo Net @ 317"</t>
  </si>
  <si>
    <r>
      <rPr>
        <b/>
        <i/>
        <sz val="8"/>
        <color rgb="FF000000"/>
        <rFont val="Comic Sans MS"/>
        <family val="4"/>
      </rPr>
      <t>Seat Pitch = 45"    Bulkhead = 37 lbs   Single Seat 15.5 lbs  Rollers 40# ea Nets 6#</t>
    </r>
    <r>
      <rPr>
        <b/>
        <sz val="10"/>
        <color indexed="8"/>
        <rFont val="Comic Sans MS"/>
        <family val="4"/>
      </rPr>
      <t xml:space="preserve"> ea</t>
    </r>
  </si>
  <si>
    <t>Scale Weight:  5/4/26</t>
  </si>
  <si>
    <t>n/a</t>
  </si>
  <si>
    <t>AFT</t>
  </si>
  <si>
    <t>NOSE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</si>
</sst>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0"/>
    <numFmt numFmtId="167" formatCode="0.000"/>
  </numFmts>
  <fonts count="57" x14ac:knownFonts="1">
    <font>
      <sz val="10"/>
      <name val="Tahoma"/>
    </font>
    <font>
      <sz val="10"/>
      <color indexed="8"/>
      <name val="MS Sans Serif"/>
      <family val="2"/>
    </font>
    <font>
      <sz val="10"/>
      <color indexed="8"/>
      <name val="Comic Sans MS"/>
      <family val="4"/>
    </font>
    <font>
      <b/>
      <sz val="12"/>
      <color indexed="8"/>
      <name val="Comic Sans MS"/>
      <family val="4"/>
    </font>
    <font>
      <sz val="12"/>
      <color indexed="8"/>
      <name val="Comic Sans MS"/>
      <family val="4"/>
    </font>
    <font>
      <b/>
      <sz val="14"/>
      <color indexed="8"/>
      <name val="Comic Sans MS"/>
      <family val="4"/>
    </font>
    <font>
      <sz val="14"/>
      <color indexed="8"/>
      <name val="MS Sans Serif"/>
      <family val="2"/>
    </font>
    <font>
      <b/>
      <sz val="10"/>
      <color indexed="8"/>
      <name val="Comic Sans MS"/>
      <family val="4"/>
    </font>
    <font>
      <b/>
      <sz val="8"/>
      <color indexed="8"/>
      <name val="Comic Sans MS"/>
      <family val="4"/>
    </font>
    <font>
      <b/>
      <sz val="6"/>
      <color indexed="8"/>
      <name val="Comic Sans MS"/>
      <family val="4"/>
    </font>
    <font>
      <b/>
      <i/>
      <sz val="12"/>
      <color indexed="8"/>
      <name val="Comic Sans MS"/>
      <family val="4"/>
    </font>
    <font>
      <b/>
      <sz val="8"/>
      <color indexed="8"/>
      <name val="Comic Sans MS"/>
      <family val="4"/>
    </font>
    <font>
      <b/>
      <sz val="10"/>
      <color indexed="8"/>
      <name val="Comic Sans MS"/>
      <family val="4"/>
    </font>
    <font>
      <b/>
      <sz val="9"/>
      <color indexed="8"/>
      <name val="Comic Sans MS"/>
      <family val="4"/>
    </font>
    <font>
      <sz val="8"/>
      <color indexed="8"/>
      <name val="Comic Sans MS"/>
      <family val="4"/>
    </font>
    <font>
      <sz val="9"/>
      <color indexed="8"/>
      <name val="Comic Sans MS"/>
      <family val="4"/>
    </font>
    <font>
      <sz val="10"/>
      <color indexed="8"/>
      <name val="Comic Sans MS"/>
      <family val="4"/>
    </font>
    <font>
      <sz val="10"/>
      <color indexed="8"/>
      <name val="MS Sans Serif"/>
      <family val="2"/>
    </font>
    <font>
      <b/>
      <i/>
      <sz val="8.5"/>
      <color indexed="8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MS Sans Serif"/>
      <family val="2"/>
    </font>
    <font>
      <b/>
      <sz val="8.5"/>
      <color indexed="8"/>
      <name val="Comic Sans MS"/>
      <family val="4"/>
    </font>
    <font>
      <sz val="8.5"/>
      <color indexed="8"/>
      <name val="MS Sans Serif"/>
      <family val="2"/>
    </font>
    <font>
      <b/>
      <sz val="12"/>
      <color indexed="8"/>
      <name val="Comic Sans MS"/>
      <family val="4"/>
    </font>
    <font>
      <i/>
      <sz val="10"/>
      <color indexed="8"/>
      <name val="MS Sans Serif"/>
      <family val="2"/>
    </font>
    <font>
      <b/>
      <sz val="9"/>
      <color indexed="8"/>
      <name val="Comic Sans MS"/>
      <family val="4"/>
    </font>
    <font>
      <b/>
      <sz val="10"/>
      <color indexed="12"/>
      <name val="Comic Sans MS"/>
      <family val="4"/>
    </font>
    <font>
      <b/>
      <sz val="9"/>
      <color indexed="8"/>
      <name val="Tahoma"/>
      <family val="2"/>
    </font>
    <font>
      <b/>
      <sz val="7"/>
      <color indexed="8"/>
      <name val="Comic Sans MS"/>
      <family val="4"/>
    </font>
    <font>
      <b/>
      <sz val="16"/>
      <color indexed="8"/>
      <name val="Comic Sans MS"/>
      <family val="4"/>
    </font>
    <font>
      <sz val="10"/>
      <name val="Tahoma"/>
      <family val="2"/>
    </font>
    <font>
      <sz val="10"/>
      <name val="Comic Sans MS"/>
      <family val="4"/>
    </font>
    <font>
      <sz val="9"/>
      <name val="Comic Sans MS"/>
      <family val="4"/>
    </font>
    <font>
      <b/>
      <sz val="10"/>
      <name val="Tahoma"/>
      <family val="2"/>
    </font>
    <font>
      <b/>
      <sz val="11"/>
      <color indexed="8"/>
      <name val="Comic Sans MS"/>
      <family val="4"/>
    </font>
    <font>
      <sz val="11"/>
      <name val="Tahoma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Arial Narrow"/>
      <family val="2"/>
    </font>
    <font>
      <sz val="8"/>
      <name val="Tahoma"/>
      <family val="2"/>
    </font>
    <font>
      <sz val="11"/>
      <color indexed="8"/>
      <name val="Comic Sans MS"/>
      <family val="4"/>
    </font>
    <font>
      <b/>
      <sz val="11"/>
      <color rgb="FFFF0000"/>
      <name val="Comic Sans MS"/>
      <family val="4"/>
    </font>
    <font>
      <sz val="11"/>
      <color rgb="FFFF0000"/>
      <name val="Tahoma"/>
      <family val="2"/>
    </font>
    <font>
      <sz val="11"/>
      <color indexed="12"/>
      <name val="Comic Sans MS"/>
      <family val="4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i/>
      <sz val="14"/>
      <color indexed="8"/>
      <name val="Comic Sans MS"/>
      <family val="4"/>
    </font>
    <font>
      <b/>
      <i/>
      <sz val="11"/>
      <color indexed="8"/>
      <name val="Calibri"/>
      <family val="2"/>
    </font>
    <font>
      <sz val="9"/>
      <name val="Tahoma"/>
      <family val="2"/>
    </font>
    <font>
      <b/>
      <sz val="10"/>
      <name val="Comic Sans MS"/>
      <family val="4"/>
    </font>
    <font>
      <b/>
      <sz val="11"/>
      <name val="Comic Sans MS"/>
      <family val="4"/>
    </font>
    <font>
      <b/>
      <sz val="18"/>
      <name val="Wingdings 2"/>
      <family val="1"/>
      <charset val="2"/>
    </font>
    <font>
      <b/>
      <sz val="18"/>
      <color indexed="8"/>
      <name val="Wingdings 2"/>
      <family val="1"/>
      <charset val="2"/>
    </font>
    <font>
      <b/>
      <i/>
      <sz val="10"/>
      <color indexed="8"/>
      <name val="Comic Sans MS"/>
      <family val="4"/>
    </font>
    <font>
      <b/>
      <sz val="9"/>
      <name val="Tahoma"/>
      <family val="2"/>
    </font>
    <font>
      <b/>
      <i/>
      <sz val="9"/>
      <color indexed="8"/>
      <name val="Comic Sans MS"/>
      <family val="4"/>
    </font>
    <font>
      <b/>
      <i/>
      <sz val="8"/>
      <color rgb="FF000000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/>
  </cellStyleXfs>
  <cellXfs count="318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37" fillId="13" borderId="2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36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36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3" fontId="36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13" fillId="0" borderId="28" xfId="0" applyFont="1" applyBorder="1" applyAlignment="1">
      <alignment horizontal="left" vertical="center"/>
    </xf>
    <xf numFmtId="0" fontId="38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4" borderId="2" xfId="0" applyFont="1" applyFill="1" applyBorder="1" applyAlignment="1">
      <alignment horizontal="right"/>
    </xf>
    <xf numFmtId="3" fontId="36" fillId="4" borderId="3" xfId="0" applyNumberFormat="1" applyFont="1" applyFill="1" applyBorder="1" applyAlignment="1">
      <alignment horizontal="center"/>
    </xf>
    <xf numFmtId="0" fontId="8" fillId="7" borderId="1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right" vertical="center"/>
    </xf>
    <xf numFmtId="3" fontId="36" fillId="12" borderId="2" xfId="0" applyNumberFormat="1" applyFont="1" applyFill="1" applyBorder="1" applyAlignment="1">
      <alignment horizontal="center"/>
    </xf>
    <xf numFmtId="3" fontId="36" fillId="4" borderId="2" xfId="0" applyNumberFormat="1" applyFont="1" applyFill="1" applyBorder="1" applyAlignment="1">
      <alignment horizontal="center"/>
    </xf>
    <xf numFmtId="2" fontId="36" fillId="4" borderId="3" xfId="0" applyNumberFormat="1" applyFont="1" applyFill="1" applyBorder="1" applyAlignment="1">
      <alignment horizontal="right" vertical="center"/>
    </xf>
    <xf numFmtId="2" fontId="36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right" wrapText="1"/>
    </xf>
    <xf numFmtId="3" fontId="43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3" fontId="40" fillId="3" borderId="5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22" fillId="0" borderId="2" xfId="0" applyFon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4" fontId="17" fillId="0" borderId="2" xfId="0" applyNumberFormat="1" applyFont="1" applyBorder="1" applyAlignment="1">
      <alignment horizontal="center"/>
    </xf>
    <xf numFmtId="3" fontId="17" fillId="0" borderId="2" xfId="0" applyNumberFormat="1" applyFont="1" applyBorder="1"/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17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17" fillId="9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9" fillId="0" borderId="0" xfId="0" applyFont="1"/>
    <xf numFmtId="166" fontId="2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" fontId="27" fillId="0" borderId="2" xfId="0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3" fontId="27" fillId="0" borderId="2" xfId="0" applyNumberFormat="1" applyFont="1" applyBorder="1"/>
    <xf numFmtId="0" fontId="23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6" fillId="5" borderId="2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2" fontId="15" fillId="5" borderId="2" xfId="0" applyNumberFormat="1" applyFont="1" applyFill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/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/>
    <xf numFmtId="3" fontId="14" fillId="0" borderId="9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2" fillId="0" borderId="0" xfId="0" applyFont="1" applyAlignment="1">
      <alignment horizontal="right"/>
    </xf>
    <xf numFmtId="165" fontId="14" fillId="0" borderId="0" xfId="0" applyNumberFormat="1" applyFont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/>
    </xf>
    <xf numFmtId="2" fontId="16" fillId="6" borderId="2" xfId="0" applyNumberFormat="1" applyFont="1" applyFill="1" applyBorder="1" applyAlignment="1">
      <alignment horizontal="center"/>
    </xf>
    <xf numFmtId="2" fontId="15" fillId="6" borderId="2" xfId="0" applyNumberFormat="1" applyFont="1" applyFill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4" fillId="0" borderId="2" xfId="0" quotePrefix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44" fillId="13" borderId="2" xfId="0" applyFont="1" applyFill="1" applyBorder="1" applyAlignment="1" applyProtection="1">
      <alignment horizontal="center"/>
      <protection locked="0"/>
    </xf>
    <xf numFmtId="3" fontId="44" fillId="13" borderId="2" xfId="0" applyNumberFormat="1" applyFont="1" applyFill="1" applyBorder="1" applyAlignment="1" applyProtection="1">
      <alignment horizontal="center"/>
      <protection locked="0"/>
    </xf>
    <xf numFmtId="3" fontId="45" fillId="13" borderId="2" xfId="0" applyNumberFormat="1" applyFont="1" applyFill="1" applyBorder="1" applyAlignment="1" applyProtection="1">
      <alignment horizontal="center" vertical="center"/>
      <protection locked="0"/>
    </xf>
    <xf numFmtId="2" fontId="34" fillId="1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3" fontId="36" fillId="10" borderId="20" xfId="0" applyNumberFormat="1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1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46" xfId="0" applyFont="1" applyBorder="1" applyAlignment="1">
      <alignment horizontal="right"/>
    </xf>
    <xf numFmtId="0" fontId="15" fillId="0" borderId="15" xfId="0" applyFont="1" applyBorder="1" applyAlignment="1">
      <alignment horizontal="right" vertical="center"/>
    </xf>
    <xf numFmtId="0" fontId="34" fillId="13" borderId="47" xfId="0" applyFont="1" applyFill="1" applyBorder="1" applyAlignment="1" applyProtection="1">
      <alignment horizontal="center" vertical="center"/>
      <protection locked="0"/>
    </xf>
    <xf numFmtId="3" fontId="11" fillId="0" borderId="10" xfId="0" applyNumberFormat="1" applyFont="1" applyBorder="1" applyAlignment="1">
      <alignment horizontal="right"/>
    </xf>
    <xf numFmtId="0" fontId="1" fillId="0" borderId="34" xfId="0" applyFont="1" applyBorder="1" applyAlignment="1">
      <alignment horizontal="center" wrapText="1"/>
    </xf>
    <xf numFmtId="0" fontId="34" fillId="0" borderId="48" xfId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4" fillId="13" borderId="44" xfId="0" applyFont="1" applyFill="1" applyBorder="1" applyAlignment="1" applyProtection="1">
      <alignment horizontal="center"/>
      <protection locked="0"/>
    </xf>
    <xf numFmtId="3" fontId="26" fillId="0" borderId="5" xfId="0" applyNumberFormat="1" applyFont="1" applyBorder="1" applyAlignment="1">
      <alignment horizontal="center"/>
    </xf>
    <xf numFmtId="3" fontId="25" fillId="3" borderId="5" xfId="0" applyNumberFormat="1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 wrapText="1"/>
    </xf>
    <xf numFmtId="2" fontId="25" fillId="13" borderId="2" xfId="0" applyNumberFormat="1" applyFont="1" applyFill="1" applyBorder="1" applyAlignment="1" applyProtection="1">
      <alignment horizontal="center"/>
      <protection locked="0"/>
    </xf>
    <xf numFmtId="0" fontId="11" fillId="13" borderId="47" xfId="0" applyFont="1" applyFill="1" applyBorder="1" applyAlignment="1" applyProtection="1">
      <alignment horizontal="left"/>
      <protection locked="0"/>
    </xf>
    <xf numFmtId="0" fontId="46" fillId="12" borderId="7" xfId="0" applyFont="1" applyFill="1" applyBorder="1" applyAlignment="1">
      <alignment horizontal="right" vertical="center"/>
    </xf>
    <xf numFmtId="3" fontId="36" fillId="3" borderId="7" xfId="0" applyNumberFormat="1" applyFont="1" applyFill="1" applyBorder="1" applyAlignment="1">
      <alignment horizontal="center"/>
    </xf>
    <xf numFmtId="0" fontId="7" fillId="0" borderId="51" xfId="0" applyFont="1" applyBorder="1" applyAlignment="1">
      <alignment horizontal="right"/>
    </xf>
    <xf numFmtId="3" fontId="36" fillId="3" borderId="9" xfId="0" applyNumberFormat="1" applyFont="1" applyFill="1" applyBorder="1" applyAlignment="1">
      <alignment horizontal="center"/>
    </xf>
    <xf numFmtId="0" fontId="46" fillId="12" borderId="52" xfId="0" applyFont="1" applyFill="1" applyBorder="1" applyAlignment="1">
      <alignment horizontal="right" vertical="center"/>
    </xf>
    <xf numFmtId="3" fontId="36" fillId="3" borderId="53" xfId="0" applyNumberFormat="1" applyFont="1" applyFill="1" applyBorder="1" applyAlignment="1">
      <alignment horizontal="center"/>
    </xf>
    <xf numFmtId="1" fontId="44" fillId="13" borderId="2" xfId="0" applyNumberFormat="1" applyFont="1" applyFill="1" applyBorder="1" applyAlignment="1" applyProtection="1">
      <alignment horizontal="center"/>
      <protection locked="0"/>
    </xf>
    <xf numFmtId="3" fontId="47" fillId="3" borderId="46" xfId="0" applyNumberFormat="1" applyFont="1" applyFill="1" applyBorder="1" applyAlignment="1">
      <alignment horizontal="center"/>
    </xf>
    <xf numFmtId="0" fontId="44" fillId="14" borderId="2" xfId="0" applyFont="1" applyFill="1" applyBorder="1" applyAlignment="1">
      <alignment horizontal="center"/>
    </xf>
    <xf numFmtId="0" fontId="44" fillId="14" borderId="3" xfId="0" applyFont="1" applyFill="1" applyBorder="1" applyAlignment="1">
      <alignment horizontal="center"/>
    </xf>
    <xf numFmtId="3" fontId="44" fillId="12" borderId="2" xfId="0" applyNumberFormat="1" applyFont="1" applyFill="1" applyBorder="1" applyAlignment="1">
      <alignment horizontal="center"/>
    </xf>
    <xf numFmtId="0" fontId="44" fillId="13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right"/>
    </xf>
    <xf numFmtId="3" fontId="1" fillId="0" borderId="0" xfId="0" applyNumberFormat="1" applyFont="1"/>
    <xf numFmtId="0" fontId="14" fillId="0" borderId="0" xfId="0" quotePrefix="1" applyFont="1" applyAlignment="1">
      <alignment horizontal="center"/>
    </xf>
    <xf numFmtId="3" fontId="34" fillId="13" borderId="44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2" fontId="0" fillId="0" borderId="0" xfId="0" applyNumberFormat="1"/>
    <xf numFmtId="2" fontId="30" fillId="0" borderId="0" xfId="0" applyNumberFormat="1" applyFont="1" applyAlignment="1">
      <alignment horizontal="center"/>
    </xf>
    <xf numFmtId="0" fontId="30" fillId="0" borderId="0" xfId="0" applyFont="1"/>
    <xf numFmtId="167" fontId="0" fillId="0" borderId="7" xfId="0" applyNumberFormat="1" applyBorder="1"/>
    <xf numFmtId="0" fontId="13" fillId="0" borderId="2" xfId="0" applyFont="1" applyBorder="1" applyAlignment="1">
      <alignment horizontal="right" vertical="center"/>
    </xf>
    <xf numFmtId="0" fontId="14" fillId="10" borderId="29" xfId="0" applyFont="1" applyFill="1" applyBorder="1" applyAlignment="1">
      <alignment horizontal="center"/>
    </xf>
    <xf numFmtId="0" fontId="8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49" fillId="0" borderId="54" xfId="1" applyFont="1" applyBorder="1" applyAlignment="1">
      <alignment horizontal="center"/>
    </xf>
    <xf numFmtId="0" fontId="50" fillId="0" borderId="55" xfId="1" applyFont="1" applyBorder="1"/>
    <xf numFmtId="0" fontId="31" fillId="0" borderId="30" xfId="1" applyFont="1" applyBorder="1" applyAlignment="1">
      <alignment horizontal="center"/>
    </xf>
    <xf numFmtId="2" fontId="31" fillId="0" borderId="19" xfId="1" applyNumberFormat="1" applyFont="1" applyBorder="1" applyAlignment="1">
      <alignment horizontal="center"/>
    </xf>
    <xf numFmtId="0" fontId="31" fillId="8" borderId="31" xfId="1" applyFont="1" applyFill="1" applyBorder="1" applyAlignment="1">
      <alignment horizontal="center"/>
    </xf>
    <xf numFmtId="2" fontId="31" fillId="8" borderId="9" xfId="1" applyNumberFormat="1" applyFont="1" applyFill="1" applyBorder="1" applyAlignment="1">
      <alignment horizontal="center"/>
    </xf>
    <xf numFmtId="0" fontId="31" fillId="0" borderId="31" xfId="1" applyFont="1" applyBorder="1" applyAlignment="1">
      <alignment horizontal="center"/>
    </xf>
    <xf numFmtId="2" fontId="31" fillId="0" borderId="2" xfId="1" applyNumberFormat="1" applyFont="1" applyBorder="1" applyAlignment="1">
      <alignment horizontal="center"/>
    </xf>
    <xf numFmtId="0" fontId="31" fillId="0" borderId="0" xfId="1" applyFont="1" applyAlignment="1">
      <alignment horizontal="center"/>
    </xf>
    <xf numFmtId="3" fontId="31" fillId="0" borderId="0" xfId="1" applyNumberFormat="1" applyFont="1" applyAlignment="1">
      <alignment horizontal="center"/>
    </xf>
    <xf numFmtId="2" fontId="31" fillId="0" borderId="0" xfId="1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21" fillId="0" borderId="0" xfId="0" quotePrefix="1" applyFont="1"/>
    <xf numFmtId="0" fontId="31" fillId="0" borderId="56" xfId="1" applyFont="1" applyBorder="1" applyAlignment="1">
      <alignment horizontal="center"/>
    </xf>
    <xf numFmtId="0" fontId="32" fillId="0" borderId="56" xfId="1" applyFont="1" applyBorder="1"/>
    <xf numFmtId="0" fontId="39" fillId="0" borderId="56" xfId="0" applyFont="1" applyBorder="1"/>
    <xf numFmtId="3" fontId="31" fillId="0" borderId="56" xfId="1" applyNumberFormat="1" applyFont="1" applyBorder="1" applyAlignment="1">
      <alignment horizontal="center"/>
    </xf>
    <xf numFmtId="2" fontId="31" fillId="0" borderId="56" xfId="1" applyNumberFormat="1" applyFont="1" applyBorder="1" applyAlignment="1">
      <alignment horizontal="center"/>
    </xf>
    <xf numFmtId="3" fontId="51" fillId="0" borderId="0" xfId="1" applyNumberFormat="1" applyFont="1" applyAlignment="1">
      <alignment horizontal="center"/>
    </xf>
    <xf numFmtId="0" fontId="52" fillId="0" borderId="0" xfId="0" applyFont="1" applyAlignment="1">
      <alignment horizontal="center"/>
    </xf>
    <xf numFmtId="164" fontId="53" fillId="0" borderId="0" xfId="0" applyNumberFormat="1" applyFont="1" applyAlignment="1">
      <alignment horizontal="left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 wrapText="1"/>
    </xf>
    <xf numFmtId="14" fontId="55" fillId="0" borderId="59" xfId="0" applyNumberFormat="1" applyFont="1" applyBorder="1" applyAlignment="1">
      <alignment horizontal="center"/>
    </xf>
    <xf numFmtId="14" fontId="55" fillId="0" borderId="62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9" fillId="7" borderId="63" xfId="0" applyFont="1" applyFill="1" applyBorder="1" applyAlignment="1">
      <alignment horizontal="center"/>
    </xf>
    <xf numFmtId="0" fontId="30" fillId="0" borderId="0" xfId="0" applyFont="1" applyAlignment="1">
      <alignment horizontal="right" indent="1"/>
    </xf>
    <xf numFmtId="164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13" fillId="0" borderId="2" xfId="0" applyFont="1" applyBorder="1" applyAlignment="1">
      <alignment horizontal="right"/>
    </xf>
    <xf numFmtId="0" fontId="13" fillId="0" borderId="46" xfId="0" applyFont="1" applyBorder="1" applyAlignment="1">
      <alignment horizontal="right"/>
    </xf>
    <xf numFmtId="3" fontId="36" fillId="3" borderId="3" xfId="0" applyNumberFormat="1" applyFont="1" applyFill="1" applyBorder="1" applyAlignment="1">
      <alignment horizontal="center"/>
    </xf>
    <xf numFmtId="0" fontId="13" fillId="0" borderId="64" xfId="0" applyFont="1" applyBorder="1" applyAlignment="1">
      <alignment horizontal="left" vertical="center"/>
    </xf>
    <xf numFmtId="3" fontId="44" fillId="15" borderId="2" xfId="0" applyNumberFormat="1" applyFont="1" applyFill="1" applyBorder="1" applyAlignment="1">
      <alignment horizontal="center"/>
    </xf>
    <xf numFmtId="3" fontId="36" fillId="2" borderId="2" xfId="0" applyNumberFormat="1" applyFont="1" applyFill="1" applyBorder="1" applyAlignment="1" applyProtection="1">
      <alignment horizontal="center"/>
      <protection locked="0"/>
    </xf>
    <xf numFmtId="3" fontId="31" fillId="0" borderId="19" xfId="1" applyNumberFormat="1" applyFont="1" applyBorder="1" applyAlignment="1">
      <alignment horizontal="center"/>
    </xf>
    <xf numFmtId="3" fontId="31" fillId="8" borderId="9" xfId="1" applyNumberFormat="1" applyFont="1" applyFill="1" applyBorder="1" applyAlignment="1">
      <alignment horizontal="center"/>
    </xf>
    <xf numFmtId="3" fontId="31" fillId="0" borderId="2" xfId="1" applyNumberFormat="1" applyFont="1" applyBorder="1" applyAlignment="1">
      <alignment horizontal="center"/>
    </xf>
    <xf numFmtId="0" fontId="7" fillId="0" borderId="65" xfId="0" applyFont="1" applyBorder="1" applyAlignment="1">
      <alignment horizontal="left"/>
    </xf>
    <xf numFmtId="0" fontId="7" fillId="0" borderId="56" xfId="0" applyFont="1" applyBorder="1" applyAlignment="1">
      <alignment horizontal="center"/>
    </xf>
    <xf numFmtId="0" fontId="50" fillId="0" borderId="0" xfId="1" applyFont="1"/>
    <xf numFmtId="0" fontId="1" fillId="0" borderId="55" xfId="0" applyFont="1" applyBorder="1"/>
    <xf numFmtId="0" fontId="31" fillId="0" borderId="69" xfId="1" applyFont="1" applyBorder="1" applyAlignment="1">
      <alignment horizontal="center"/>
    </xf>
    <xf numFmtId="3" fontId="31" fillId="0" borderId="70" xfId="1" applyNumberFormat="1" applyFont="1" applyBorder="1" applyAlignment="1">
      <alignment horizontal="center"/>
    </xf>
    <xf numFmtId="2" fontId="31" fillId="0" borderId="70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/>
    <xf numFmtId="0" fontId="34" fillId="7" borderId="3" xfId="0" applyFont="1" applyFill="1" applyBorder="1" applyAlignment="1">
      <alignment horizontal="center"/>
    </xf>
    <xf numFmtId="0" fontId="35" fillId="7" borderId="4" xfId="0" applyFont="1" applyFill="1" applyBorder="1" applyAlignment="1">
      <alignment horizontal="center"/>
    </xf>
    <xf numFmtId="0" fontId="28" fillId="0" borderId="10" xfId="0" applyFont="1" applyBorder="1" applyAlignment="1">
      <alignment horizontal="left"/>
    </xf>
    <xf numFmtId="0" fontId="0" fillId="0" borderId="22" xfId="0" applyBorder="1"/>
    <xf numFmtId="0" fontId="2" fillId="0" borderId="0" xfId="0" applyFont="1" applyAlignment="1">
      <alignment horizontal="center"/>
    </xf>
    <xf numFmtId="0" fontId="41" fillId="11" borderId="8" xfId="0" applyFont="1" applyFill="1" applyBorder="1" applyAlignment="1">
      <alignment horizontal="left" vertical="center"/>
    </xf>
    <xf numFmtId="0" fontId="42" fillId="11" borderId="8" xfId="0" applyFont="1" applyFill="1" applyBorder="1"/>
    <xf numFmtId="0" fontId="42" fillId="11" borderId="17" xfId="0" applyFont="1" applyFill="1" applyBorder="1"/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2" fillId="0" borderId="3" xfId="1" applyFont="1" applyBorder="1"/>
    <xf numFmtId="0" fontId="0" fillId="0" borderId="8" xfId="0" applyBorder="1"/>
    <xf numFmtId="0" fontId="0" fillId="0" borderId="68" xfId="0" applyBorder="1"/>
    <xf numFmtId="0" fontId="7" fillId="0" borderId="24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42" xfId="0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0" fillId="0" borderId="3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57" xfId="0" applyFont="1" applyBorder="1" applyAlignment="1">
      <alignment horizontal="right"/>
    </xf>
    <xf numFmtId="0" fontId="54" fillId="0" borderId="58" xfId="0" applyFont="1" applyBorder="1" applyAlignment="1">
      <alignment horizontal="right"/>
    </xf>
    <xf numFmtId="0" fontId="13" fillId="0" borderId="60" xfId="0" applyFont="1" applyBorder="1" applyAlignment="1">
      <alignment horizontal="right"/>
    </xf>
    <xf numFmtId="0" fontId="54" fillId="0" borderId="61" xfId="0" applyFont="1" applyBorder="1" applyAlignment="1">
      <alignment horizontal="right"/>
    </xf>
    <xf numFmtId="12" fontId="8" fillId="0" borderId="0" xfId="0" applyNumberFormat="1" applyFont="1" applyAlignment="1">
      <alignment horizontal="left"/>
    </xf>
    <xf numFmtId="0" fontId="33" fillId="0" borderId="22" xfId="0" applyFont="1" applyBorder="1" applyAlignment="1">
      <alignment horizontal="left"/>
    </xf>
    <xf numFmtId="0" fontId="32" fillId="0" borderId="71" xfId="1" applyFont="1" applyBorder="1"/>
    <xf numFmtId="0" fontId="0" fillId="0" borderId="72" xfId="0" applyBorder="1"/>
    <xf numFmtId="0" fontId="0" fillId="0" borderId="73" xfId="0" applyBorder="1"/>
    <xf numFmtId="0" fontId="34" fillId="0" borderId="21" xfId="1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32" xfId="1" applyFont="1" applyBorder="1"/>
    <xf numFmtId="0" fontId="0" fillId="0" borderId="33" xfId="0" applyBorder="1"/>
    <xf numFmtId="0" fontId="0" fillId="0" borderId="67" xfId="0" applyBorder="1"/>
    <xf numFmtId="0" fontId="32" fillId="8" borderId="3" xfId="1" applyFont="1" applyFill="1" applyBorder="1"/>
    <xf numFmtId="2" fontId="36" fillId="4" borderId="3" xfId="0" applyNumberFormat="1" applyFont="1" applyFill="1" applyBorder="1" applyAlignment="1">
      <alignment horizontal="center"/>
    </xf>
    <xf numFmtId="0" fontId="21" fillId="0" borderId="35" xfId="0" applyFont="1" applyBorder="1"/>
    <xf numFmtId="0" fontId="0" fillId="0" borderId="36" xfId="0" applyBorder="1"/>
    <xf numFmtId="0" fontId="13" fillId="0" borderId="56" xfId="0" applyFont="1" applyBorder="1" applyAlignment="1">
      <alignment horizontal="center"/>
    </xf>
    <xf numFmtId="0" fontId="48" fillId="0" borderId="56" xfId="0" applyFont="1" applyBorder="1" applyAlignment="1">
      <alignment horizontal="center"/>
    </xf>
    <xf numFmtId="0" fontId="48" fillId="0" borderId="66" xfId="0" applyFont="1" applyBorder="1" applyAlignment="1">
      <alignment horizontal="center"/>
    </xf>
    <xf numFmtId="0" fontId="7" fillId="0" borderId="65" xfId="0" applyFont="1" applyBorder="1" applyAlignment="1">
      <alignment horizontal="left"/>
    </xf>
    <xf numFmtId="0" fontId="0" fillId="0" borderId="56" xfId="0" applyBorder="1"/>
    <xf numFmtId="0" fontId="0" fillId="0" borderId="66" xfId="0" applyBorder="1"/>
    <xf numFmtId="164" fontId="53" fillId="0" borderId="0" xfId="0" applyNumberFormat="1" applyFont="1" applyAlignment="1">
      <alignment horizontal="left"/>
    </xf>
    <xf numFmtId="0" fontId="2" fillId="13" borderId="2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48" fillId="0" borderId="12" xfId="0" applyFont="1" applyBorder="1" applyAlignment="1">
      <alignment horizontal="center" wrapText="1"/>
    </xf>
    <xf numFmtId="0" fontId="13" fillId="0" borderId="35" xfId="1" applyFont="1" applyBorder="1" applyAlignment="1">
      <alignment horizontal="center" wrapText="1"/>
    </xf>
    <xf numFmtId="0" fontId="30" fillId="0" borderId="2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655109</xdr:colOff>
      <xdr:row>9</xdr:row>
      <xdr:rowOff>177800</xdr:rowOff>
    </xdr:from>
    <xdr:to>
      <xdr:col>9</xdr:col>
      <xdr:colOff>520700</xdr:colOff>
      <xdr:row>10</xdr:row>
      <xdr:rowOff>93133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7005109" y="1981200"/>
          <a:ext cx="602191" cy="13123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161636</xdr:colOff>
      <xdr:row>9</xdr:row>
      <xdr:rowOff>68819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11903" y="176215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655110</xdr:colOff>
      <xdr:row>9</xdr:row>
      <xdr:rowOff>95250</xdr:rowOff>
    </xdr:from>
    <xdr:to>
      <xdr:col>9</xdr:col>
      <xdr:colOff>504825</xdr:colOff>
      <xdr:row>10</xdr:row>
      <xdr:rowOff>93133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6913035" y="1771650"/>
          <a:ext cx="583140" cy="18838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655110</xdr:colOff>
      <xdr:row>9</xdr:row>
      <xdr:rowOff>133350</xdr:rowOff>
    </xdr:from>
    <xdr:to>
      <xdr:col>9</xdr:col>
      <xdr:colOff>581025</xdr:colOff>
      <xdr:row>10</xdr:row>
      <xdr:rowOff>93133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7027335" y="1809750"/>
          <a:ext cx="659340" cy="15028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26"/>
  <sheetViews>
    <sheetView showGridLines="0" tabSelected="1" topLeftCell="B1" zoomScaleNormal="100" workbookViewId="0">
      <selection activeCell="G4" sqref="G4"/>
    </sheetView>
  </sheetViews>
  <sheetFormatPr defaultColWidth="10" defaultRowHeight="15" x14ac:dyDescent="0.3"/>
  <cols>
    <col min="1" max="1" width="2.42578125" style="1" customWidth="1"/>
    <col min="2" max="2" width="10.42578125" style="1" customWidth="1"/>
    <col min="3" max="3" width="7.85546875" style="1" customWidth="1"/>
    <col min="4" max="4" width="15.140625" style="1" customWidth="1"/>
    <col min="5" max="5" width="2.42578125" style="1" customWidth="1"/>
    <col min="6" max="6" width="24.140625" style="1" customWidth="1"/>
    <col min="7" max="7" width="12.28515625" style="1" customWidth="1"/>
    <col min="8" max="8" width="15.85546875" style="1" customWidth="1"/>
    <col min="9" max="9" width="10.5703125" style="1" customWidth="1"/>
    <col min="10" max="10" width="9.140625" style="1" customWidth="1"/>
    <col min="11" max="11" width="9" style="1" customWidth="1"/>
    <col min="12" max="12" width="7.7109375" style="1" customWidth="1"/>
    <col min="13" max="13" width="14.7109375" style="1" customWidth="1"/>
    <col min="14" max="14" width="1.140625" style="1" customWidth="1"/>
    <col min="15" max="15" width="7" style="1" customWidth="1"/>
    <col min="16" max="16" width="19.5703125" style="1" customWidth="1"/>
    <col min="17" max="17" width="11.7109375" style="1" customWidth="1"/>
    <col min="18" max="18" width="9.28515625" style="1" customWidth="1"/>
    <col min="19" max="19" width="11.28515625" style="1" customWidth="1"/>
    <col min="20" max="20" width="8" style="1" customWidth="1"/>
    <col min="21" max="21" width="1.7109375" style="1" customWidth="1"/>
    <col min="22" max="22" width="21.85546875" style="1" bestFit="1" customWidth="1"/>
    <col min="23" max="23" width="5.7109375" style="1" bestFit="1" customWidth="1"/>
    <col min="24" max="24" width="6.28515625" style="1" bestFit="1" customWidth="1"/>
    <col min="25" max="25" width="6.42578125" style="1" bestFit="1" customWidth="1"/>
    <col min="26" max="26" width="5.85546875" style="1" bestFit="1" customWidth="1"/>
    <col min="27" max="27" width="7" style="1" bestFit="1" customWidth="1"/>
    <col min="28" max="16384" width="10" style="1"/>
  </cols>
  <sheetData>
    <row r="1" spans="4:27" ht="6.6" customHeight="1" thickBot="1" x14ac:dyDescent="0.35"/>
    <row r="2" spans="4:27" ht="23.25" customHeight="1" x14ac:dyDescent="0.5">
      <c r="D2" s="135"/>
      <c r="E2" s="136"/>
      <c r="F2" s="136"/>
      <c r="G2" s="137" t="s">
        <v>149</v>
      </c>
      <c r="H2" s="136"/>
      <c r="I2" s="136"/>
      <c r="J2" s="136"/>
      <c r="K2" s="136"/>
      <c r="L2" s="136"/>
      <c r="M2" s="138"/>
    </row>
    <row r="3" spans="4:27" ht="6.75" customHeight="1" thickBot="1" x14ac:dyDescent="0.45">
      <c r="D3" s="31"/>
      <c r="F3" s="10"/>
      <c r="G3" s="11"/>
      <c r="H3" s="12"/>
      <c r="I3" s="13"/>
      <c r="J3" s="13"/>
      <c r="M3" s="139"/>
    </row>
    <row r="4" spans="4:27" ht="20.25" customHeight="1" thickTop="1" thickBot="1" x14ac:dyDescent="0.4">
      <c r="D4" s="31"/>
      <c r="F4" s="14" t="s">
        <v>0</v>
      </c>
      <c r="G4" s="131">
        <f>250+180</f>
        <v>430</v>
      </c>
      <c r="H4" s="15" t="s">
        <v>1</v>
      </c>
      <c r="I4" s="8">
        <v>190</v>
      </c>
      <c r="J4" s="219" t="s">
        <v>2</v>
      </c>
      <c r="K4" s="281" t="s">
        <v>151</v>
      </c>
      <c r="L4" s="282"/>
      <c r="M4" s="223">
        <v>46146</v>
      </c>
      <c r="Q4" s="16"/>
      <c r="T4" s="16"/>
      <c r="U4" s="7"/>
      <c r="V4" s="7"/>
    </row>
    <row r="5" spans="4:27" ht="17.45" customHeight="1" thickBot="1" x14ac:dyDescent="0.4">
      <c r="D5" s="31"/>
      <c r="E5" s="209"/>
      <c r="F5" s="14" t="s">
        <v>114</v>
      </c>
      <c r="G5" s="131">
        <v>220</v>
      </c>
      <c r="H5" s="17" t="s">
        <v>3</v>
      </c>
      <c r="I5" s="8">
        <v>2</v>
      </c>
      <c r="J5" s="220"/>
      <c r="K5" s="283" t="s">
        <v>152</v>
      </c>
      <c r="L5" s="284"/>
      <c r="M5" s="224" t="s">
        <v>178</v>
      </c>
      <c r="O5" s="5" t="s">
        <v>159</v>
      </c>
      <c r="P5" s="18"/>
      <c r="Q5" s="16" t="s">
        <v>60</v>
      </c>
      <c r="T5" s="18"/>
      <c r="V5"/>
      <c r="W5" s="94" t="s">
        <v>89</v>
      </c>
      <c r="X5" s="94" t="s">
        <v>133</v>
      </c>
      <c r="Y5"/>
      <c r="Z5"/>
      <c r="AA5"/>
    </row>
    <row r="6" spans="4:27" ht="17.45" customHeight="1" thickTop="1" thickBot="1" x14ac:dyDescent="0.4">
      <c r="D6" s="31"/>
      <c r="E6" s="209"/>
      <c r="F6" s="14" t="s">
        <v>68</v>
      </c>
      <c r="G6" s="131">
        <v>440</v>
      </c>
      <c r="H6" s="19" t="s">
        <v>5</v>
      </c>
      <c r="I6" s="293" t="s">
        <v>60</v>
      </c>
      <c r="J6" s="294"/>
      <c r="M6" s="139"/>
      <c r="P6" s="18" t="s">
        <v>108</v>
      </c>
      <c r="Q6" s="20">
        <v>16000</v>
      </c>
      <c r="S6" s="246"/>
      <c r="T6" s="247"/>
      <c r="V6" s="227" t="s">
        <v>168</v>
      </c>
      <c r="W6">
        <v>167</v>
      </c>
      <c r="X6" s="94" t="s">
        <v>134</v>
      </c>
      <c r="Y6" s="182" t="s">
        <v>136</v>
      </c>
      <c r="Z6"/>
      <c r="AA6" s="183" t="s">
        <v>140</v>
      </c>
    </row>
    <row r="7" spans="4:27" ht="17.45" customHeight="1" x14ac:dyDescent="0.35">
      <c r="D7" s="154" t="s">
        <v>6</v>
      </c>
      <c r="E7" s="209"/>
      <c r="F7" s="14" t="s">
        <v>69</v>
      </c>
      <c r="G7" s="131">
        <v>440</v>
      </c>
      <c r="H7" s="19" t="s">
        <v>8</v>
      </c>
      <c r="I7" s="248" t="s">
        <v>150</v>
      </c>
      <c r="J7" s="249"/>
      <c r="M7" s="139"/>
      <c r="P7" s="18" t="s">
        <v>109</v>
      </c>
      <c r="Q7" s="20">
        <v>13900</v>
      </c>
      <c r="T7" s="18"/>
      <c r="V7" s="227" t="s">
        <v>163</v>
      </c>
      <c r="W7">
        <v>220</v>
      </c>
      <c r="X7" s="94">
        <f>W7-W6</f>
        <v>53</v>
      </c>
      <c r="Y7" s="181">
        <f>(X7*100)/W12</f>
        <v>14.600550964187327</v>
      </c>
      <c r="Z7" s="229">
        <v>14.6</v>
      </c>
      <c r="AA7" s="184">
        <f>Y7/100</f>
        <v>0.14600550964187328</v>
      </c>
    </row>
    <row r="8" spans="4:27" ht="17.45" customHeight="1" x14ac:dyDescent="0.35">
      <c r="D8" s="155" t="s">
        <v>9</v>
      </c>
      <c r="E8" s="209"/>
      <c r="F8" s="14" t="s">
        <v>73</v>
      </c>
      <c r="G8" s="131">
        <v>440</v>
      </c>
      <c r="H8" s="19" t="s">
        <v>11</v>
      </c>
      <c r="I8" s="235">
        <v>4</v>
      </c>
      <c r="J8" s="250" t="s">
        <v>72</v>
      </c>
      <c r="K8" s="247"/>
      <c r="L8" s="247"/>
      <c r="M8" s="251"/>
      <c r="N8"/>
      <c r="O8"/>
      <c r="P8" s="18" t="s">
        <v>110</v>
      </c>
      <c r="Q8" s="20">
        <v>15500</v>
      </c>
      <c r="T8" s="18"/>
      <c r="V8" s="227" t="s">
        <v>164</v>
      </c>
      <c r="W8">
        <v>317</v>
      </c>
      <c r="X8" s="94">
        <f t="shared" ref="X8:X11" si="0">W8-W7</f>
        <v>97</v>
      </c>
      <c r="Y8" s="181">
        <f>(X8*100)/W12</f>
        <v>26.721763085399449</v>
      </c>
      <c r="Z8" s="229">
        <v>28</v>
      </c>
      <c r="AA8" s="184">
        <f t="shared" ref="AA8:AA13" si="1">Y8/100</f>
        <v>0.26721763085399447</v>
      </c>
    </row>
    <row r="9" spans="4:27" ht="17.45" customHeight="1" thickBot="1" x14ac:dyDescent="0.4">
      <c r="D9" s="156" t="s">
        <v>180</v>
      </c>
      <c r="E9" s="209"/>
      <c r="F9" s="14" t="s">
        <v>74</v>
      </c>
      <c r="G9" s="131">
        <v>440</v>
      </c>
      <c r="H9" s="19" t="s">
        <v>13</v>
      </c>
      <c r="I9" s="21">
        <f>VLOOKUP(I8,B29:D38,2,TRUE)</f>
        <v>9246</v>
      </c>
      <c r="J9" s="22"/>
      <c r="M9" s="139"/>
      <c r="P9" s="18" t="s">
        <v>111</v>
      </c>
      <c r="Q9" s="23">
        <v>15.5</v>
      </c>
      <c r="T9" s="18"/>
      <c r="V9" s="227" t="s">
        <v>165</v>
      </c>
      <c r="W9">
        <v>437</v>
      </c>
      <c r="X9" s="94">
        <f t="shared" si="0"/>
        <v>120</v>
      </c>
      <c r="Y9" s="181">
        <f>(X9*100)/W12</f>
        <v>33.057851239669418</v>
      </c>
      <c r="Z9" s="229">
        <v>34</v>
      </c>
      <c r="AA9" s="184">
        <f t="shared" si="1"/>
        <v>0.33057851239669417</v>
      </c>
    </row>
    <row r="10" spans="4:27" ht="17.45" customHeight="1" thickBot="1" x14ac:dyDescent="0.4">
      <c r="D10" s="312" t="s">
        <v>153</v>
      </c>
      <c r="E10" s="310"/>
      <c r="F10" s="14" t="s">
        <v>75</v>
      </c>
      <c r="G10" s="131"/>
      <c r="H10" s="24" t="s">
        <v>15</v>
      </c>
      <c r="I10" s="25">
        <f>G4</f>
        <v>430</v>
      </c>
      <c r="J10" s="22"/>
      <c r="K10" s="26" t="s">
        <v>84</v>
      </c>
      <c r="M10" s="140" t="s">
        <v>85</v>
      </c>
      <c r="P10" s="18" t="s">
        <v>112</v>
      </c>
      <c r="Q10" s="20" t="s">
        <v>107</v>
      </c>
      <c r="V10" s="227" t="s">
        <v>166</v>
      </c>
      <c r="W10">
        <v>492</v>
      </c>
      <c r="X10" s="94">
        <f t="shared" si="0"/>
        <v>55</v>
      </c>
      <c r="Y10" s="181">
        <f>(X10*100)/W12</f>
        <v>15.151515151515152</v>
      </c>
      <c r="Z10" s="229">
        <v>15</v>
      </c>
      <c r="AA10" s="184">
        <f t="shared" si="1"/>
        <v>0.15151515151515152</v>
      </c>
    </row>
    <row r="11" spans="4:27" ht="17.45" customHeight="1" thickBot="1" x14ac:dyDescent="0.4">
      <c r="D11" s="313"/>
      <c r="E11" s="310"/>
      <c r="F11" s="14" t="s">
        <v>76</v>
      </c>
      <c r="G11" s="131"/>
      <c r="H11" s="19" t="s">
        <v>16</v>
      </c>
      <c r="I11" s="21">
        <f>I9+I10+G21</f>
        <v>9676</v>
      </c>
      <c r="J11" s="27"/>
      <c r="K11" s="212" t="s">
        <v>17</v>
      </c>
      <c r="L11" s="28"/>
      <c r="M11" s="186" t="s">
        <v>86</v>
      </c>
      <c r="P11" s="18" t="s">
        <v>155</v>
      </c>
      <c r="Q11" s="33" t="s">
        <v>156</v>
      </c>
      <c r="R11" s="33" t="s">
        <v>157</v>
      </c>
      <c r="T11" s="18"/>
      <c r="V11" s="227" t="s">
        <v>167</v>
      </c>
      <c r="W11">
        <v>530</v>
      </c>
      <c r="X11" s="94">
        <f t="shared" si="0"/>
        <v>38</v>
      </c>
      <c r="Y11" s="181">
        <f>(X11*100)/W12</f>
        <v>10.46831955922865</v>
      </c>
      <c r="Z11" s="229">
        <v>8.4</v>
      </c>
      <c r="AA11" s="184">
        <f t="shared" si="1"/>
        <v>0.1046831955922865</v>
      </c>
    </row>
    <row r="12" spans="4:27" ht="17.45" customHeight="1" thickBot="1" x14ac:dyDescent="0.35">
      <c r="D12" s="313"/>
      <c r="E12" s="310"/>
      <c r="F12" s="14" t="s">
        <v>77</v>
      </c>
      <c r="G12" s="131"/>
      <c r="H12" s="163" t="s">
        <v>122</v>
      </c>
      <c r="I12" s="46">
        <f>SUM(G5:G20)</f>
        <v>2530</v>
      </c>
      <c r="J12" s="22"/>
      <c r="K12" s="30">
        <f>I15-I16</f>
        <v>747</v>
      </c>
      <c r="L12" s="31"/>
      <c r="M12" s="141" t="s">
        <v>58</v>
      </c>
      <c r="N12" s="32"/>
      <c r="O12" s="32"/>
      <c r="P12" s="18" t="s">
        <v>105</v>
      </c>
      <c r="Q12" s="20" t="s">
        <v>154</v>
      </c>
      <c r="R12" s="33" t="s">
        <v>158</v>
      </c>
      <c r="S12" s="246"/>
      <c r="T12" s="247"/>
      <c r="V12" s="179" t="s">
        <v>135</v>
      </c>
      <c r="W12" s="227">
        <f>W11-W6</f>
        <v>363</v>
      </c>
      <c r="X12"/>
      <c r="Y12"/>
      <c r="Z12"/>
      <c r="AA12" s="184">
        <f t="shared" si="1"/>
        <v>0</v>
      </c>
    </row>
    <row r="13" spans="4:27" ht="17.45" customHeight="1" thickTop="1" thickBot="1" x14ac:dyDescent="0.4">
      <c r="D13" s="313"/>
      <c r="E13" s="310"/>
      <c r="F13" s="14" t="s">
        <v>78</v>
      </c>
      <c r="G13" s="131"/>
      <c r="H13" s="34" t="s">
        <v>18</v>
      </c>
      <c r="I13" s="232">
        <f>I11+I12</f>
        <v>12206</v>
      </c>
      <c r="J13" s="233" t="str">
        <f>IF((I13)&lt;ZFW,"ZFW OK","BAD ZFW")</f>
        <v>ZFW OK</v>
      </c>
      <c r="K13" s="36" t="s">
        <v>123</v>
      </c>
      <c r="M13" s="142">
        <f>12500-Take_Off_Wt.</f>
        <v>-2753</v>
      </c>
      <c r="P13" s="18" t="s">
        <v>113</v>
      </c>
      <c r="Q13" s="33" t="s">
        <v>106</v>
      </c>
      <c r="S13" s="37"/>
      <c r="T13" s="38"/>
      <c r="X13"/>
      <c r="Y13">
        <f>SUM(Y7:Y12)</f>
        <v>100</v>
      </c>
      <c r="Z13">
        <f>SUM(Z7:Z12)</f>
        <v>100</v>
      </c>
      <c r="AA13" s="184">
        <f t="shared" si="1"/>
        <v>1</v>
      </c>
    </row>
    <row r="14" spans="4:27" ht="17.45" customHeight="1" thickTop="1" x14ac:dyDescent="0.35">
      <c r="D14" s="313"/>
      <c r="E14" s="310"/>
      <c r="F14" s="14" t="s">
        <v>79</v>
      </c>
      <c r="G14" s="131"/>
      <c r="H14" s="39" t="s">
        <v>19</v>
      </c>
      <c r="I14" s="21">
        <f>G22</f>
        <v>3000</v>
      </c>
      <c r="J14" s="22"/>
      <c r="L14" s="40"/>
      <c r="M14" s="139"/>
      <c r="S14" s="41"/>
      <c r="T14" s="38"/>
      <c r="V14" s="5"/>
      <c r="W14" s="227"/>
    </row>
    <row r="15" spans="4:27" ht="17.45" customHeight="1" thickBot="1" x14ac:dyDescent="0.4">
      <c r="D15" s="313"/>
      <c r="E15" s="310"/>
      <c r="F15" s="14" t="s">
        <v>14</v>
      </c>
      <c r="G15" s="131">
        <v>0</v>
      </c>
      <c r="H15" s="42" t="s">
        <v>20</v>
      </c>
      <c r="I15" s="43">
        <f>Q6</f>
        <v>16000</v>
      </c>
      <c r="J15" s="44" t="s">
        <v>115</v>
      </c>
      <c r="K15" s="143"/>
      <c r="L15" s="45"/>
      <c r="M15" s="139"/>
      <c r="P15" s="256" t="s">
        <v>162</v>
      </c>
      <c r="Q15" s="257"/>
      <c r="S15" s="258"/>
      <c r="T15" s="259"/>
      <c r="U15" s="252"/>
      <c r="V15" s="247"/>
      <c r="W15" s="227"/>
    </row>
    <row r="16" spans="4:27" ht="17.45" customHeight="1" x14ac:dyDescent="0.35">
      <c r="D16" s="309" t="s">
        <v>70</v>
      </c>
      <c r="E16" s="310"/>
      <c r="F16" s="185" t="s">
        <v>130</v>
      </c>
      <c r="G16" s="234">
        <v>0</v>
      </c>
      <c r="H16" s="42" t="s">
        <v>22</v>
      </c>
      <c r="I16" s="47">
        <f>Q44</f>
        <v>15253</v>
      </c>
      <c r="J16" s="253" t="str">
        <f>IF(Take_Off_Wt.&lt;16000,"",I31)</f>
        <v/>
      </c>
      <c r="K16" s="254"/>
      <c r="L16" s="255"/>
      <c r="M16" s="213" t="s">
        <v>87</v>
      </c>
      <c r="P16" s="257"/>
      <c r="Q16" s="257"/>
      <c r="S16" s="259"/>
      <c r="T16" s="259"/>
      <c r="U16" s="247"/>
      <c r="V16" s="247"/>
      <c r="W16" s="227"/>
      <c r="X16" s="1" t="s">
        <v>179</v>
      </c>
    </row>
    <row r="17" spans="2:26" ht="17.45" customHeight="1" x14ac:dyDescent="0.35">
      <c r="D17" s="311"/>
      <c r="E17" s="310"/>
      <c r="F17" s="185" t="s">
        <v>131</v>
      </c>
      <c r="G17" s="234">
        <v>0</v>
      </c>
      <c r="H17" s="42" t="s">
        <v>24</v>
      </c>
      <c r="I17" s="48">
        <f>IF(I16&lt;5201,D45,C45)</f>
        <v>261.34000000000003</v>
      </c>
      <c r="J17" s="49">
        <v>-277</v>
      </c>
      <c r="K17" s="50"/>
      <c r="L17" s="50"/>
      <c r="M17" s="214" t="str">
        <f>S63</f>
        <v>FWD MOM OK</v>
      </c>
      <c r="P17" s="257"/>
      <c r="Q17" s="257"/>
      <c r="S17" s="41"/>
      <c r="T17" s="41"/>
      <c r="V17" s="5"/>
      <c r="W17" s="227"/>
      <c r="X17" s="1" t="s">
        <v>180</v>
      </c>
    </row>
    <row r="18" spans="2:26" ht="17.45" customHeight="1" x14ac:dyDescent="0.35">
      <c r="D18" s="311"/>
      <c r="E18" s="310"/>
      <c r="F18" s="185" t="s">
        <v>132</v>
      </c>
      <c r="G18" s="234">
        <v>0</v>
      </c>
      <c r="H18" s="42" t="s">
        <v>26</v>
      </c>
      <c r="I18" s="299">
        <f>R44</f>
        <v>260.7987936799318</v>
      </c>
      <c r="J18" s="294"/>
      <c r="K18" s="51" t="str">
        <f>IF(Take_Off_C.G.&lt;277,D64,"Bad CG")</f>
        <v>C.G. Not OK</v>
      </c>
      <c r="L18" s="52"/>
      <c r="M18" s="214" t="str">
        <f>R62</f>
        <v>FWD WT OK</v>
      </c>
      <c r="P18" s="257"/>
      <c r="Q18" s="257"/>
      <c r="T18" s="53"/>
      <c r="V18" s="6"/>
      <c r="W18" s="227"/>
    </row>
    <row r="19" spans="2:26" ht="17.45" customHeight="1" x14ac:dyDescent="0.35">
      <c r="D19" s="311"/>
      <c r="E19" s="310"/>
      <c r="F19" s="185" t="s">
        <v>160</v>
      </c>
      <c r="G19" s="169">
        <v>350</v>
      </c>
      <c r="H19" s="54" t="s">
        <v>148</v>
      </c>
      <c r="I19" s="157" t="str">
        <f>IF(Take_Off_Wt.&gt;Max_Ld_Wt.,I28,"No Limit")</f>
        <v>No Limit</v>
      </c>
      <c r="J19" s="56" t="s">
        <v>27</v>
      </c>
      <c r="K19" s="9"/>
      <c r="M19" s="214" t="str">
        <f>S76</f>
        <v>AFT MOM OK</v>
      </c>
      <c r="P19" s="257"/>
      <c r="Q19" s="257"/>
      <c r="T19" s="57"/>
      <c r="V19" s="210"/>
      <c r="W19" s="2"/>
    </row>
    <row r="20" spans="2:26" ht="17.45" customHeight="1" x14ac:dyDescent="0.35">
      <c r="D20" s="222"/>
      <c r="E20" s="221"/>
      <c r="F20" s="185" t="s">
        <v>161</v>
      </c>
      <c r="G20" s="169">
        <v>200</v>
      </c>
      <c r="H20" s="54"/>
      <c r="I20" s="157"/>
      <c r="J20" s="225"/>
      <c r="M20" s="226"/>
      <c r="T20" s="57"/>
      <c r="V20" s="210"/>
      <c r="W20" s="2"/>
    </row>
    <row r="21" spans="2:26" ht="17.45" customHeight="1" thickBot="1" x14ac:dyDescent="0.4">
      <c r="D21" s="144"/>
      <c r="E21" s="58"/>
      <c r="F21" s="59" t="s">
        <v>83</v>
      </c>
      <c r="G21" s="131">
        <v>0</v>
      </c>
      <c r="H21" s="60" t="s">
        <v>28</v>
      </c>
      <c r="I21" s="158">
        <f>G22-((I5*J23)+(I4+45)*I22)</f>
        <v>92.083333333333485</v>
      </c>
      <c r="J21" s="62" t="s">
        <v>29</v>
      </c>
      <c r="K21" s="63" t="str">
        <f>IF(I21&gt;-1,"Fuel OK","More Fuel")</f>
        <v>Fuel OK</v>
      </c>
      <c r="L21" s="64"/>
      <c r="M21" s="215" t="str">
        <f>R75</f>
        <v>AFT WT OK</v>
      </c>
      <c r="P21" s="65" t="s">
        <v>33</v>
      </c>
      <c r="Q21" s="66" t="s">
        <v>34</v>
      </c>
      <c r="R21" s="66" t="s">
        <v>35</v>
      </c>
      <c r="S21" s="67" t="s">
        <v>36</v>
      </c>
      <c r="V21" s="308"/>
      <c r="W21" s="308"/>
      <c r="X21" s="308"/>
      <c r="Y21" s="308"/>
      <c r="Z21" s="308"/>
    </row>
    <row r="22" spans="2:26" ht="17.45" customHeight="1" thickBot="1" x14ac:dyDescent="0.4">
      <c r="D22" s="145"/>
      <c r="E22" s="68"/>
      <c r="F22" s="19" t="s">
        <v>21</v>
      </c>
      <c r="G22" s="132">
        <v>3000</v>
      </c>
      <c r="H22" s="60" t="s">
        <v>30</v>
      </c>
      <c r="I22" s="161">
        <f>625/60</f>
        <v>10.416666666666666</v>
      </c>
      <c r="J22" s="69" t="s">
        <v>31</v>
      </c>
      <c r="K22" s="151">
        <f>(I5*J23)+(I4-(I5*25))*I22</f>
        <v>1918.3333333333333</v>
      </c>
      <c r="L22" s="285" t="s">
        <v>121</v>
      </c>
      <c r="M22" s="286"/>
      <c r="N22" s="70"/>
      <c r="O22" s="71"/>
      <c r="P22" s="72" t="s">
        <v>38</v>
      </c>
      <c r="Q22" s="73">
        <f>I9</f>
        <v>9246</v>
      </c>
      <c r="R22" s="74">
        <f>D44</f>
        <v>258.48691325978803</v>
      </c>
      <c r="S22" s="75">
        <f>Q22*R22</f>
        <v>2389970</v>
      </c>
    </row>
    <row r="23" spans="2:26" ht="17.45" customHeight="1" thickTop="1" thickBot="1" x14ac:dyDescent="0.4">
      <c r="D23" s="146"/>
      <c r="E23" s="147"/>
      <c r="F23" s="148" t="s">
        <v>23</v>
      </c>
      <c r="G23" s="170">
        <f>G22/6.7</f>
        <v>447.76119402985074</v>
      </c>
      <c r="H23" s="147"/>
      <c r="I23" s="149" t="s">
        <v>32</v>
      </c>
      <c r="J23" s="162">
        <v>230</v>
      </c>
      <c r="K23" s="159"/>
      <c r="L23" s="160"/>
      <c r="M23" s="160"/>
      <c r="N23" s="76"/>
      <c r="O23" s="77"/>
      <c r="P23" s="72" t="s">
        <v>0</v>
      </c>
      <c r="Q23" s="73">
        <f t="shared" ref="Q23:Q39" si="2">G4</f>
        <v>430</v>
      </c>
      <c r="R23" s="78">
        <v>111</v>
      </c>
      <c r="S23" s="75">
        <f t="shared" ref="S23:S43" si="3">Q23*R23</f>
        <v>47730</v>
      </c>
    </row>
    <row r="24" spans="2:26" ht="15" customHeight="1" x14ac:dyDescent="0.3">
      <c r="F24" s="79" t="s">
        <v>25</v>
      </c>
      <c r="G24" s="80"/>
      <c r="P24" s="72" t="s">
        <v>67</v>
      </c>
      <c r="Q24" s="73">
        <f t="shared" si="2"/>
        <v>220</v>
      </c>
      <c r="R24" s="78">
        <v>148</v>
      </c>
      <c r="S24" s="75">
        <f t="shared" si="3"/>
        <v>32560</v>
      </c>
    </row>
    <row r="25" spans="2:26" ht="15.75" thickBot="1" x14ac:dyDescent="0.35">
      <c r="G25" s="81"/>
      <c r="P25" s="72" t="s">
        <v>7</v>
      </c>
      <c r="Q25" s="73">
        <f t="shared" si="2"/>
        <v>440</v>
      </c>
      <c r="R25" s="78">
        <v>178</v>
      </c>
      <c r="S25" s="75">
        <f t="shared" si="3"/>
        <v>78320</v>
      </c>
      <c r="U25" s="3"/>
      <c r="V25" s="4"/>
    </row>
    <row r="26" spans="2:26" ht="18" thickTop="1" thickBot="1" x14ac:dyDescent="0.4">
      <c r="B26" s="239" t="s">
        <v>174</v>
      </c>
      <c r="C26" s="240"/>
      <c r="D26" s="240"/>
      <c r="E26" s="302" t="s">
        <v>177</v>
      </c>
      <c r="F26" s="303"/>
      <c r="G26" s="304"/>
      <c r="P26" s="72" t="s">
        <v>10</v>
      </c>
      <c r="Q26" s="73">
        <f t="shared" si="2"/>
        <v>440</v>
      </c>
      <c r="R26" s="78">
        <v>207</v>
      </c>
      <c r="S26" s="75">
        <f t="shared" si="3"/>
        <v>91080</v>
      </c>
      <c r="U26" s="3"/>
      <c r="V26" s="4"/>
    </row>
    <row r="27" spans="2:26" ht="17.25" thickTop="1" x14ac:dyDescent="0.35">
      <c r="B27" s="305" t="s">
        <v>176</v>
      </c>
      <c r="C27" s="306"/>
      <c r="D27" s="306"/>
      <c r="E27" s="306"/>
      <c r="F27" s="306"/>
      <c r="G27" s="307"/>
      <c r="I27" s="300" t="s">
        <v>37</v>
      </c>
      <c r="J27" s="301"/>
      <c r="P27" s="72" t="s">
        <v>12</v>
      </c>
      <c r="Q27" s="73">
        <f t="shared" si="2"/>
        <v>440</v>
      </c>
      <c r="R27" s="78">
        <v>236</v>
      </c>
      <c r="S27" s="75">
        <f t="shared" si="3"/>
        <v>103840</v>
      </c>
      <c r="U27" s="3"/>
      <c r="V27" s="4"/>
    </row>
    <row r="28" spans="2:26" ht="15" customHeight="1" thickBot="1" x14ac:dyDescent="0.4">
      <c r="B28" s="189" t="s">
        <v>143</v>
      </c>
      <c r="C28" s="241" t="s">
        <v>144</v>
      </c>
      <c r="D28" s="241" t="s">
        <v>59</v>
      </c>
      <c r="E28" s="190" t="s">
        <v>145</v>
      </c>
      <c r="G28" s="242"/>
      <c r="I28" s="266">
        <f>((Take_Off_Wt.-Max_Ld_Wt.)/I22)</f>
        <v>-23.712</v>
      </c>
      <c r="J28" s="267"/>
      <c r="P28" s="72" t="s">
        <v>61</v>
      </c>
      <c r="Q28" s="73">
        <f t="shared" si="2"/>
        <v>440</v>
      </c>
      <c r="R28" s="78">
        <v>266</v>
      </c>
      <c r="S28" s="75">
        <f t="shared" si="3"/>
        <v>117040</v>
      </c>
      <c r="U28" s="3"/>
      <c r="V28" s="4"/>
    </row>
    <row r="29" spans="2:26" ht="15" customHeight="1" thickBot="1" x14ac:dyDescent="0.35">
      <c r="B29" s="191">
        <v>1</v>
      </c>
      <c r="C29" s="236">
        <v>9192</v>
      </c>
      <c r="D29" s="192">
        <v>258.75</v>
      </c>
      <c r="E29" s="295" t="s">
        <v>100</v>
      </c>
      <c r="F29" s="296"/>
      <c r="G29" s="297"/>
      <c r="P29" s="72" t="s">
        <v>62</v>
      </c>
      <c r="Q29" s="73">
        <f t="shared" si="2"/>
        <v>0</v>
      </c>
      <c r="R29" s="78">
        <v>297</v>
      </c>
      <c r="S29" s="75">
        <f t="shared" si="3"/>
        <v>0</v>
      </c>
      <c r="U29" s="3"/>
      <c r="V29" s="4"/>
    </row>
    <row r="30" spans="2:26" ht="15" customHeight="1" x14ac:dyDescent="0.35">
      <c r="B30" s="193">
        <v>2</v>
      </c>
      <c r="C30" s="237">
        <v>9207</v>
      </c>
      <c r="D30" s="194">
        <v>258.56</v>
      </c>
      <c r="E30" s="298" t="s">
        <v>146</v>
      </c>
      <c r="F30" s="261"/>
      <c r="G30" s="262"/>
      <c r="I30" s="268" t="s">
        <v>116</v>
      </c>
      <c r="J30" s="269"/>
      <c r="P30" s="72" t="s">
        <v>63</v>
      </c>
      <c r="Q30" s="73">
        <f t="shared" si="2"/>
        <v>0</v>
      </c>
      <c r="R30" s="78">
        <v>328</v>
      </c>
      <c r="S30" s="75">
        <f t="shared" si="3"/>
        <v>0</v>
      </c>
      <c r="U30" s="3"/>
      <c r="V30" s="4"/>
    </row>
    <row r="31" spans="2:26" ht="15" customHeight="1" x14ac:dyDescent="0.3">
      <c r="B31" s="195">
        <v>3</v>
      </c>
      <c r="C31" s="238">
        <v>9147</v>
      </c>
      <c r="D31" s="196">
        <v>258.17962173390185</v>
      </c>
      <c r="E31" s="260" t="s">
        <v>175</v>
      </c>
      <c r="F31" s="261"/>
      <c r="G31" s="262"/>
      <c r="I31" s="270" t="str">
        <f>IF(Take_Off_Wt.&lt;16100,I33,"OVER GROSS WT!")</f>
        <v>!! BURN TAXI FUEL !!</v>
      </c>
      <c r="J31" s="271"/>
      <c r="K31" s="5" t="s">
        <v>117</v>
      </c>
      <c r="P31" s="72" t="s">
        <v>64</v>
      </c>
      <c r="Q31" s="73">
        <f t="shared" si="2"/>
        <v>0</v>
      </c>
      <c r="R31" s="78">
        <v>359</v>
      </c>
      <c r="S31" s="75">
        <f t="shared" si="3"/>
        <v>0</v>
      </c>
      <c r="U31" s="3"/>
      <c r="V31" s="4"/>
    </row>
    <row r="32" spans="2:26" ht="15" customHeight="1" x14ac:dyDescent="0.3">
      <c r="B32" s="195">
        <v>4</v>
      </c>
      <c r="C32" s="238">
        <v>9246</v>
      </c>
      <c r="D32" s="196">
        <v>258.48691325978803</v>
      </c>
      <c r="E32" s="260" t="s">
        <v>124</v>
      </c>
      <c r="F32" s="261"/>
      <c r="G32" s="262"/>
      <c r="I32" s="272">
        <f>16100-Take_Off_Wt.</f>
        <v>847</v>
      </c>
      <c r="J32" s="273"/>
      <c r="P32" s="72" t="s">
        <v>65</v>
      </c>
      <c r="Q32" s="73">
        <f t="shared" si="2"/>
        <v>0</v>
      </c>
      <c r="R32" s="78">
        <v>389</v>
      </c>
      <c r="S32" s="75">
        <f t="shared" si="3"/>
        <v>0</v>
      </c>
      <c r="U32" s="3"/>
      <c r="V32" s="4"/>
    </row>
    <row r="33" spans="2:22" ht="15" customHeight="1" thickBot="1" x14ac:dyDescent="0.35">
      <c r="B33" s="195">
        <v>5</v>
      </c>
      <c r="C33" s="238">
        <v>9308</v>
      </c>
      <c r="D33" s="196">
        <v>258.64020197679417</v>
      </c>
      <c r="E33" s="260" t="s">
        <v>101</v>
      </c>
      <c r="F33" s="261"/>
      <c r="G33" s="262"/>
      <c r="I33" s="274" t="s">
        <v>118</v>
      </c>
      <c r="J33" s="275"/>
      <c r="P33" s="72" t="s">
        <v>66</v>
      </c>
      <c r="Q33" s="73">
        <f t="shared" si="2"/>
        <v>0</v>
      </c>
      <c r="R33" s="228">
        <v>419</v>
      </c>
      <c r="S33" s="75">
        <f t="shared" si="3"/>
        <v>0</v>
      </c>
      <c r="U33" s="3"/>
      <c r="V33" s="4"/>
    </row>
    <row r="34" spans="2:22" ht="15" customHeight="1" x14ac:dyDescent="0.3">
      <c r="B34" s="195">
        <v>6</v>
      </c>
      <c r="C34" s="238">
        <v>9339</v>
      </c>
      <c r="D34" s="196">
        <v>258.98929221544063</v>
      </c>
      <c r="E34" s="260" t="s">
        <v>102</v>
      </c>
      <c r="F34" s="261"/>
      <c r="G34" s="262"/>
      <c r="P34" s="72" t="s">
        <v>45</v>
      </c>
      <c r="Q34" s="73">
        <f t="shared" si="2"/>
        <v>0</v>
      </c>
      <c r="R34" s="78">
        <v>42</v>
      </c>
      <c r="S34" s="75">
        <f t="shared" si="3"/>
        <v>0</v>
      </c>
      <c r="U34" s="3"/>
      <c r="V34" s="4"/>
    </row>
    <row r="35" spans="2:22" ht="15" customHeight="1" x14ac:dyDescent="0.3">
      <c r="B35" s="195">
        <v>7</v>
      </c>
      <c r="C35" s="238">
        <v>9370</v>
      </c>
      <c r="D35" s="196">
        <v>259.14087513340451</v>
      </c>
      <c r="E35" s="260" t="s">
        <v>103</v>
      </c>
      <c r="F35" s="261"/>
      <c r="G35" s="262"/>
      <c r="P35" s="72" t="s">
        <v>46</v>
      </c>
      <c r="Q35" s="73">
        <f t="shared" si="2"/>
        <v>0</v>
      </c>
      <c r="R35" s="78">
        <v>193.5</v>
      </c>
      <c r="S35" s="75">
        <f t="shared" si="3"/>
        <v>0</v>
      </c>
      <c r="U35" s="3"/>
      <c r="V35" s="4"/>
    </row>
    <row r="36" spans="2:22" ht="14.1" customHeight="1" thickBot="1" x14ac:dyDescent="0.35">
      <c r="B36" s="243">
        <v>8</v>
      </c>
      <c r="C36" s="244">
        <v>9401</v>
      </c>
      <c r="D36" s="245">
        <v>259.29145835549411</v>
      </c>
      <c r="E36" s="287" t="s">
        <v>104</v>
      </c>
      <c r="F36" s="288"/>
      <c r="G36" s="289"/>
      <c r="H36" s="82"/>
      <c r="I36" s="57"/>
      <c r="P36" s="72" t="s">
        <v>47</v>
      </c>
      <c r="Q36" s="73">
        <f t="shared" si="2"/>
        <v>0</v>
      </c>
      <c r="R36" s="78">
        <v>265</v>
      </c>
      <c r="S36" s="75">
        <f t="shared" si="3"/>
        <v>0</v>
      </c>
      <c r="U36" s="3"/>
      <c r="V36" s="3"/>
    </row>
    <row r="37" spans="2:22" ht="14.1" customHeight="1" thickTop="1" x14ac:dyDescent="0.3">
      <c r="B37" s="203"/>
      <c r="C37" s="206"/>
      <c r="D37" s="207"/>
      <c r="E37" s="204"/>
      <c r="F37" s="205"/>
      <c r="G37" s="204"/>
      <c r="P37" s="72" t="s">
        <v>48</v>
      </c>
      <c r="Q37" s="73">
        <f t="shared" si="2"/>
        <v>0</v>
      </c>
      <c r="R37" s="78">
        <v>370</v>
      </c>
      <c r="S37" s="75">
        <f t="shared" si="3"/>
        <v>0</v>
      </c>
      <c r="U37" s="4"/>
      <c r="V37" s="3"/>
    </row>
    <row r="38" spans="2:22" ht="14.1" customHeight="1" x14ac:dyDescent="0.3">
      <c r="B38" s="197"/>
      <c r="C38" s="208" t="s">
        <v>147</v>
      </c>
      <c r="D38" s="199"/>
      <c r="E38" s="200"/>
      <c r="F38" s="201"/>
      <c r="G38" s="202"/>
      <c r="P38" s="72" t="s">
        <v>170</v>
      </c>
      <c r="Q38" s="73">
        <f t="shared" si="2"/>
        <v>350</v>
      </c>
      <c r="R38" s="78">
        <v>465</v>
      </c>
      <c r="S38" s="75">
        <f t="shared" ref="S38:S39" si="4">Q38*R38</f>
        <v>162750</v>
      </c>
      <c r="U38" s="4"/>
      <c r="V38" s="3"/>
    </row>
    <row r="39" spans="2:22" ht="14.1" customHeight="1" x14ac:dyDescent="0.3">
      <c r="P39" s="72" t="s">
        <v>171</v>
      </c>
      <c r="Q39" s="73">
        <f t="shared" si="2"/>
        <v>200</v>
      </c>
      <c r="R39" s="78">
        <v>511</v>
      </c>
      <c r="S39" s="75">
        <f t="shared" si="4"/>
        <v>102200</v>
      </c>
      <c r="U39" s="4"/>
      <c r="V39" s="3"/>
    </row>
    <row r="40" spans="2:22" ht="14.1" customHeight="1" x14ac:dyDescent="0.3">
      <c r="P40" s="72" t="s">
        <v>81</v>
      </c>
      <c r="Q40" s="73">
        <f>IF(D9="Nose",47,0)</f>
        <v>47</v>
      </c>
      <c r="R40" s="83">
        <v>42</v>
      </c>
      <c r="S40" s="75">
        <f t="shared" si="3"/>
        <v>1974</v>
      </c>
      <c r="U40" s="4"/>
      <c r="V40" s="3"/>
    </row>
    <row r="41" spans="2:22" ht="14.1" customHeight="1" x14ac:dyDescent="0.3">
      <c r="P41" s="72" t="s">
        <v>82</v>
      </c>
      <c r="Q41" s="73">
        <f>IF(D9="Nose",0,47)</f>
        <v>0</v>
      </c>
      <c r="R41" s="83">
        <v>525</v>
      </c>
      <c r="S41" s="75">
        <f t="shared" si="3"/>
        <v>0</v>
      </c>
      <c r="T41" s="84"/>
      <c r="U41" s="4"/>
    </row>
    <row r="42" spans="2:22" ht="14.1" customHeight="1" x14ac:dyDescent="0.3">
      <c r="P42" s="72" t="s">
        <v>49</v>
      </c>
      <c r="Q42" s="73">
        <f>G21</f>
        <v>0</v>
      </c>
      <c r="R42" s="78">
        <v>21</v>
      </c>
      <c r="S42" s="75">
        <f t="shared" si="3"/>
        <v>0</v>
      </c>
      <c r="U42" s="4"/>
      <c r="V42" s="4"/>
    </row>
    <row r="43" spans="2:22" ht="14.1" customHeight="1" x14ac:dyDescent="0.3">
      <c r="C43" s="60" t="s">
        <v>39</v>
      </c>
      <c r="D43" s="20">
        <f>I9</f>
        <v>9246</v>
      </c>
      <c r="P43" s="72" t="s">
        <v>50</v>
      </c>
      <c r="Q43" s="73">
        <f>G22</f>
        <v>3000</v>
      </c>
      <c r="R43" s="78">
        <f>VLOOKUP(G22,L55:O97,4)</f>
        <v>283.5</v>
      </c>
      <c r="S43" s="75">
        <f t="shared" si="3"/>
        <v>850500</v>
      </c>
    </row>
    <row r="44" spans="2:22" ht="14.1" customHeight="1" x14ac:dyDescent="0.35">
      <c r="C44" s="60" t="s">
        <v>41</v>
      </c>
      <c r="D44" s="86">
        <f>VLOOKUP(I8,B29:D38,3,TRUE)</f>
        <v>258.48691325978803</v>
      </c>
      <c r="P44" s="87" t="s">
        <v>51</v>
      </c>
      <c r="Q44" s="88">
        <f>SUM(Q22:Q43)</f>
        <v>15253</v>
      </c>
      <c r="R44" s="89">
        <f>Loaded_Monent/Q44</f>
        <v>260.7987936799318</v>
      </c>
      <c r="S44" s="90">
        <f>SUM(S22:S43)</f>
        <v>3977964</v>
      </c>
      <c r="T44" s="85" t="s">
        <v>52</v>
      </c>
    </row>
    <row r="45" spans="2:22" ht="14.1" customHeight="1" x14ac:dyDescent="0.3">
      <c r="C45" s="2">
        <f t="shared" ref="C45:C76" si="5">IF(Take_Off_Wt.&lt;F47,G47,C46)</f>
        <v>261.34000000000003</v>
      </c>
      <c r="D45" s="2"/>
      <c r="F45" s="91" t="s">
        <v>40</v>
      </c>
      <c r="G45" s="91"/>
      <c r="H45" s="91"/>
    </row>
    <row r="46" spans="2:22" ht="14.1" customHeight="1" thickBot="1" x14ac:dyDescent="0.4">
      <c r="C46" s="2">
        <f t="shared" si="5"/>
        <v>261.34000000000003</v>
      </c>
      <c r="D46" s="2"/>
      <c r="F46" s="92" t="s">
        <v>42</v>
      </c>
      <c r="G46" s="92" t="s">
        <v>43</v>
      </c>
      <c r="H46" s="92" t="s">
        <v>44</v>
      </c>
      <c r="R46" s="93" t="s">
        <v>80</v>
      </c>
      <c r="S46" s="94"/>
    </row>
    <row r="47" spans="2:22" ht="14.1" customHeight="1" thickTop="1" thickBot="1" x14ac:dyDescent="0.4">
      <c r="C47" s="2">
        <f t="shared" si="5"/>
        <v>261.34000000000003</v>
      </c>
      <c r="D47" s="2"/>
      <c r="F47" s="95">
        <v>11000</v>
      </c>
      <c r="G47" s="96">
        <v>257</v>
      </c>
      <c r="H47" s="97">
        <v>277</v>
      </c>
      <c r="P47" s="263" t="s">
        <v>96</v>
      </c>
      <c r="Q47" s="264"/>
      <c r="R47" s="264"/>
      <c r="S47" s="265"/>
    </row>
    <row r="48" spans="2:22" ht="14.1" customHeight="1" thickTop="1" x14ac:dyDescent="0.35">
      <c r="C48" s="2">
        <f t="shared" si="5"/>
        <v>261.34000000000003</v>
      </c>
      <c r="D48" s="2"/>
      <c r="F48" s="98">
        <v>11100</v>
      </c>
      <c r="G48" s="99">
        <v>257.10000000000002</v>
      </c>
      <c r="H48" s="100">
        <v>277</v>
      </c>
      <c r="P48" s="40" t="s">
        <v>88</v>
      </c>
      <c r="Q48" s="101" t="s">
        <v>89</v>
      </c>
      <c r="R48" s="101" t="s">
        <v>34</v>
      </c>
      <c r="S48" s="101" t="s">
        <v>90</v>
      </c>
    </row>
    <row r="49" spans="3:19" ht="14.1" customHeight="1" x14ac:dyDescent="0.3">
      <c r="C49" s="2">
        <f t="shared" si="5"/>
        <v>261.34000000000003</v>
      </c>
      <c r="D49" s="2"/>
      <c r="F49" s="98">
        <v>11200</v>
      </c>
      <c r="G49" s="99">
        <v>257.2</v>
      </c>
      <c r="H49" s="100">
        <v>277</v>
      </c>
      <c r="P49" s="18" t="s">
        <v>49</v>
      </c>
      <c r="Q49" s="102">
        <f>R42</f>
        <v>21</v>
      </c>
      <c r="R49" s="102">
        <f>Q42</f>
        <v>0</v>
      </c>
      <c r="S49" s="102">
        <f>(((Q49-274)*(R49))/1000)*-1</f>
        <v>0</v>
      </c>
    </row>
    <row r="50" spans="3:19" ht="14.1" customHeight="1" x14ac:dyDescent="0.3">
      <c r="C50" s="2">
        <f t="shared" si="5"/>
        <v>261.34000000000003</v>
      </c>
      <c r="D50" s="2"/>
      <c r="F50" s="98">
        <v>11300</v>
      </c>
      <c r="G50" s="99">
        <v>257.3</v>
      </c>
      <c r="H50" s="100">
        <v>277</v>
      </c>
      <c r="L50" s="102"/>
      <c r="P50" s="18" t="s">
        <v>6</v>
      </c>
      <c r="Q50" s="2">
        <v>42</v>
      </c>
      <c r="R50" s="102">
        <f>Q40</f>
        <v>47</v>
      </c>
      <c r="S50" s="102">
        <f t="shared" ref="S50:S59" si="6">(((Q50-274)*(R50))/1000)*-1</f>
        <v>10.904</v>
      </c>
    </row>
    <row r="51" spans="3:19" ht="14.1" customHeight="1" x14ac:dyDescent="0.3">
      <c r="C51" s="2">
        <f t="shared" si="5"/>
        <v>261.34000000000003</v>
      </c>
      <c r="D51" s="2"/>
      <c r="F51" s="98">
        <v>11400</v>
      </c>
      <c r="G51" s="99">
        <v>257.39999999999998</v>
      </c>
      <c r="H51" s="100">
        <v>277</v>
      </c>
      <c r="P51" s="18" t="s">
        <v>91</v>
      </c>
      <c r="Q51" s="2">
        <f>R34</f>
        <v>42</v>
      </c>
      <c r="R51" s="102">
        <f>Q34</f>
        <v>0</v>
      </c>
      <c r="S51" s="102">
        <f t="shared" si="6"/>
        <v>0</v>
      </c>
    </row>
    <row r="52" spans="3:19" ht="14.1" customHeight="1" x14ac:dyDescent="0.3">
      <c r="C52" s="2">
        <f t="shared" si="5"/>
        <v>261.34000000000003</v>
      </c>
      <c r="D52" s="2"/>
      <c r="F52" s="98">
        <v>11500</v>
      </c>
      <c r="G52" s="99">
        <v>257.5</v>
      </c>
      <c r="H52" s="100">
        <v>277</v>
      </c>
      <c r="L52" s="103" t="s">
        <v>53</v>
      </c>
      <c r="M52" s="104" t="str">
        <f>IF(I16&gt;14600,"Over Gross","Burn Taxi Fuel")</f>
        <v>Over Gross</v>
      </c>
      <c r="N52" s="104"/>
      <c r="O52" s="104"/>
      <c r="P52" s="18" t="s">
        <v>0</v>
      </c>
      <c r="Q52" s="102">
        <f t="shared" ref="Q52:Q57" si="7">R23</f>
        <v>111</v>
      </c>
      <c r="R52" s="102">
        <f t="shared" ref="R52:R57" si="8">Q23</f>
        <v>430</v>
      </c>
      <c r="S52" s="102">
        <f t="shared" si="6"/>
        <v>70.09</v>
      </c>
    </row>
    <row r="53" spans="3:19" ht="14.1" customHeight="1" x14ac:dyDescent="0.3">
      <c r="C53" s="2">
        <f t="shared" si="5"/>
        <v>261.34000000000003</v>
      </c>
      <c r="D53" s="2"/>
      <c r="F53" s="98">
        <v>11600</v>
      </c>
      <c r="G53" s="99">
        <v>257.60000000000002</v>
      </c>
      <c r="H53" s="100">
        <v>277</v>
      </c>
      <c r="M53" s="278" t="s">
        <v>55</v>
      </c>
      <c r="O53" s="280" t="s">
        <v>54</v>
      </c>
      <c r="P53" s="18" t="s">
        <v>4</v>
      </c>
      <c r="Q53" s="102">
        <f t="shared" si="7"/>
        <v>148</v>
      </c>
      <c r="R53" s="102">
        <f t="shared" si="8"/>
        <v>220</v>
      </c>
      <c r="S53" s="102">
        <f t="shared" si="6"/>
        <v>27.72</v>
      </c>
    </row>
    <row r="54" spans="3:19" ht="14.1" customHeight="1" x14ac:dyDescent="0.3">
      <c r="C54" s="2">
        <f t="shared" si="5"/>
        <v>261.34000000000003</v>
      </c>
      <c r="D54" s="2"/>
      <c r="F54" s="98">
        <v>11700</v>
      </c>
      <c r="G54" s="99">
        <v>257.7</v>
      </c>
      <c r="H54" s="100">
        <v>277</v>
      </c>
      <c r="K54" s="105"/>
      <c r="L54" s="106" t="s">
        <v>29</v>
      </c>
      <c r="M54" s="279"/>
      <c r="N54" s="107"/>
      <c r="O54" s="279"/>
      <c r="P54" s="18" t="s">
        <v>7</v>
      </c>
      <c r="Q54" s="2">
        <f t="shared" si="7"/>
        <v>178</v>
      </c>
      <c r="R54" s="102">
        <f t="shared" si="8"/>
        <v>440</v>
      </c>
      <c r="S54" s="102">
        <f t="shared" si="6"/>
        <v>42.24</v>
      </c>
    </row>
    <row r="55" spans="3:19" ht="14.1" customHeight="1" x14ac:dyDescent="0.3">
      <c r="C55" s="2">
        <f t="shared" si="5"/>
        <v>261.34000000000003</v>
      </c>
      <c r="D55" s="2"/>
      <c r="F55" s="98">
        <v>11800</v>
      </c>
      <c r="G55" s="99">
        <v>257.8</v>
      </c>
      <c r="H55" s="100">
        <v>277</v>
      </c>
      <c r="K55" s="108"/>
      <c r="L55" s="109">
        <v>100</v>
      </c>
      <c r="M55" s="110">
        <f t="shared" ref="M55:M97" si="9">L55/6.7</f>
        <v>14.925373134328359</v>
      </c>
      <c r="N55" s="110"/>
      <c r="O55" s="111">
        <v>293.90000000000003</v>
      </c>
      <c r="P55" s="18" t="s">
        <v>10</v>
      </c>
      <c r="Q55" s="2">
        <f t="shared" si="7"/>
        <v>207</v>
      </c>
      <c r="R55" s="102">
        <f t="shared" si="8"/>
        <v>440</v>
      </c>
      <c r="S55" s="102">
        <f t="shared" si="6"/>
        <v>29.48</v>
      </c>
    </row>
    <row r="56" spans="3:19" ht="14.1" customHeight="1" x14ac:dyDescent="0.3">
      <c r="C56" s="2">
        <f t="shared" si="5"/>
        <v>261.34000000000003</v>
      </c>
      <c r="D56" s="2"/>
      <c r="F56" s="98">
        <v>11900</v>
      </c>
      <c r="G56" s="99">
        <v>257.89999999999998</v>
      </c>
      <c r="H56" s="100">
        <v>277</v>
      </c>
      <c r="K56" s="108"/>
      <c r="L56" s="112">
        <v>200</v>
      </c>
      <c r="M56" s="113">
        <f t="shared" si="9"/>
        <v>29.850746268656717</v>
      </c>
      <c r="N56" s="110"/>
      <c r="O56" s="114">
        <v>293.60000000000002</v>
      </c>
      <c r="P56" s="18" t="s">
        <v>12</v>
      </c>
      <c r="Q56" s="2">
        <f t="shared" si="7"/>
        <v>236</v>
      </c>
      <c r="R56" s="102">
        <f t="shared" si="8"/>
        <v>440</v>
      </c>
      <c r="S56" s="102">
        <f t="shared" si="6"/>
        <v>16.72</v>
      </c>
    </row>
    <row r="57" spans="3:19" ht="14.1" customHeight="1" x14ac:dyDescent="0.3">
      <c r="C57" s="2">
        <f t="shared" si="5"/>
        <v>261.34000000000003</v>
      </c>
      <c r="D57" s="2"/>
      <c r="F57" s="98">
        <v>12000</v>
      </c>
      <c r="G57" s="99">
        <v>258</v>
      </c>
      <c r="H57" s="100">
        <v>277</v>
      </c>
      <c r="K57" s="108"/>
      <c r="L57" s="112">
        <v>300</v>
      </c>
      <c r="M57" s="113">
        <f t="shared" si="9"/>
        <v>44.776119402985074</v>
      </c>
      <c r="N57" s="113"/>
      <c r="O57" s="114">
        <v>293.3</v>
      </c>
      <c r="P57" s="18" t="s">
        <v>61</v>
      </c>
      <c r="Q57" s="2">
        <f t="shared" si="7"/>
        <v>266</v>
      </c>
      <c r="R57" s="102">
        <f t="shared" si="8"/>
        <v>440</v>
      </c>
      <c r="S57" s="102">
        <f t="shared" si="6"/>
        <v>3.52</v>
      </c>
    </row>
    <row r="58" spans="3:19" ht="14.1" customHeight="1" x14ac:dyDescent="0.3">
      <c r="C58" s="2">
        <f t="shared" si="5"/>
        <v>261.34000000000003</v>
      </c>
      <c r="D58" s="2"/>
      <c r="F58" s="98">
        <v>12100</v>
      </c>
      <c r="G58" s="99">
        <v>258.10000000000002</v>
      </c>
      <c r="H58" s="100">
        <v>277</v>
      </c>
      <c r="K58" s="108"/>
      <c r="L58" s="112">
        <v>400</v>
      </c>
      <c r="M58" s="113">
        <f t="shared" si="9"/>
        <v>59.701492537313435</v>
      </c>
      <c r="N58" s="113"/>
      <c r="O58" s="114">
        <v>293</v>
      </c>
      <c r="P58" s="18" t="s">
        <v>92</v>
      </c>
      <c r="Q58" s="2">
        <f>R35</f>
        <v>193.5</v>
      </c>
      <c r="R58" s="102">
        <f>Q35</f>
        <v>0</v>
      </c>
      <c r="S58" s="102">
        <f t="shared" si="6"/>
        <v>0</v>
      </c>
    </row>
    <row r="59" spans="3:19" ht="14.1" customHeight="1" thickBot="1" x14ac:dyDescent="0.35">
      <c r="C59" s="2">
        <f t="shared" si="5"/>
        <v>261.34000000000003</v>
      </c>
      <c r="D59" s="2"/>
      <c r="F59" s="98">
        <v>12200</v>
      </c>
      <c r="G59" s="99">
        <v>258.2</v>
      </c>
      <c r="H59" s="100">
        <v>277</v>
      </c>
      <c r="K59" s="108"/>
      <c r="L59" s="112">
        <v>500</v>
      </c>
      <c r="M59" s="113">
        <f t="shared" si="9"/>
        <v>74.626865671641795</v>
      </c>
      <c r="N59" s="113"/>
      <c r="O59" s="114">
        <f>AVERAGE(O58,O60)</f>
        <v>292.64999999999998</v>
      </c>
      <c r="P59" s="18" t="s">
        <v>93</v>
      </c>
      <c r="Q59" s="115">
        <f>R36</f>
        <v>265</v>
      </c>
      <c r="R59" s="116">
        <f>Q36</f>
        <v>0</v>
      </c>
      <c r="S59" s="116">
        <f t="shared" si="6"/>
        <v>0</v>
      </c>
    </row>
    <row r="60" spans="3:19" ht="14.1" customHeight="1" thickTop="1" x14ac:dyDescent="0.35">
      <c r="C60" s="2">
        <f t="shared" si="5"/>
        <v>261.34000000000003</v>
      </c>
      <c r="D60" s="2"/>
      <c r="F60" s="98">
        <v>12300</v>
      </c>
      <c r="G60" s="99">
        <v>258.3</v>
      </c>
      <c r="H60" s="100">
        <v>277</v>
      </c>
      <c r="K60" s="108"/>
      <c r="L60" s="112">
        <v>600</v>
      </c>
      <c r="M60" s="113">
        <f t="shared" si="9"/>
        <v>89.552238805970148</v>
      </c>
      <c r="N60" s="113"/>
      <c r="O60" s="114">
        <v>292.3</v>
      </c>
      <c r="P60" s="18"/>
      <c r="Q60" s="1" t="s">
        <v>94</v>
      </c>
      <c r="R60" s="117">
        <f>SUM(R49:R59)</f>
        <v>2457</v>
      </c>
      <c r="S60" s="118">
        <f>SUM(S49:S59)</f>
        <v>200.67400000000001</v>
      </c>
    </row>
    <row r="61" spans="3:19" ht="14.1" customHeight="1" thickBot="1" x14ac:dyDescent="0.4">
      <c r="C61" s="2">
        <f t="shared" si="5"/>
        <v>261.34000000000003</v>
      </c>
      <c r="D61" s="2"/>
      <c r="F61" s="98">
        <v>12400</v>
      </c>
      <c r="G61" s="99">
        <v>258.39999999999998</v>
      </c>
      <c r="H61" s="100">
        <v>277</v>
      </c>
      <c r="K61" s="108"/>
      <c r="L61" s="112">
        <v>700</v>
      </c>
      <c r="M61" s="113">
        <f t="shared" si="9"/>
        <v>104.4776119402985</v>
      </c>
      <c r="N61" s="113"/>
      <c r="O61" s="114">
        <f>AVERAGE(O60,O62)</f>
        <v>291.85000000000002</v>
      </c>
      <c r="P61" s="18"/>
      <c r="Q61" s="1" t="s">
        <v>95</v>
      </c>
      <c r="R61" s="119">
        <v>2825</v>
      </c>
      <c r="S61" s="119">
        <v>359.8</v>
      </c>
    </row>
    <row r="62" spans="3:19" ht="14.1" customHeight="1" thickTop="1" x14ac:dyDescent="0.3">
      <c r="C62" s="2">
        <f t="shared" si="5"/>
        <v>261.34000000000003</v>
      </c>
      <c r="D62" s="2"/>
      <c r="F62" s="98">
        <v>12500</v>
      </c>
      <c r="G62" s="99">
        <v>258.5</v>
      </c>
      <c r="H62" s="100">
        <v>277</v>
      </c>
      <c r="K62" s="108"/>
      <c r="L62" s="112">
        <v>800</v>
      </c>
      <c r="M62" s="113">
        <f t="shared" si="9"/>
        <v>119.40298507462687</v>
      </c>
      <c r="N62" s="113"/>
      <c r="O62" s="114">
        <v>291.40000000000003</v>
      </c>
      <c r="P62" s="18"/>
      <c r="R62" s="26" t="str">
        <f>IF(R60&gt;R61, "FWD WT BAD", "FWD WT OK")</f>
        <v>FWD WT OK</v>
      </c>
    </row>
    <row r="63" spans="3:19" ht="14.1" customHeight="1" thickBot="1" x14ac:dyDescent="0.35">
      <c r="C63" s="2">
        <f t="shared" si="5"/>
        <v>261.34000000000003</v>
      </c>
      <c r="D63" s="2"/>
      <c r="F63" s="98">
        <v>12600</v>
      </c>
      <c r="G63" s="99">
        <v>258.60000000000002</v>
      </c>
      <c r="H63" s="100">
        <v>277</v>
      </c>
      <c r="K63" s="108"/>
      <c r="L63" s="112">
        <v>900</v>
      </c>
      <c r="M63" s="113">
        <f t="shared" si="9"/>
        <v>134.32835820895522</v>
      </c>
      <c r="N63" s="113"/>
      <c r="O63" s="114">
        <f>AVERAGE(O62,O64)</f>
        <v>290.95000000000005</v>
      </c>
      <c r="P63" s="18"/>
      <c r="R63" s="26"/>
      <c r="S63" s="26" t="str">
        <f>IF(S60&gt;S61, "FWD MOM BAD", "FWD MOM OK")</f>
        <v>FWD MOM OK</v>
      </c>
    </row>
    <row r="64" spans="3:19" ht="14.1" customHeight="1" thickTop="1" thickBot="1" x14ac:dyDescent="0.4">
      <c r="C64" s="2">
        <f t="shared" si="5"/>
        <v>261.34000000000003</v>
      </c>
      <c r="D64" s="1" t="str">
        <f>IF(I18&lt;I17,"C.G. Not OK","OK CG")</f>
        <v>C.G. Not OK</v>
      </c>
      <c r="F64" s="98">
        <v>12700</v>
      </c>
      <c r="G64" s="99">
        <v>258.7</v>
      </c>
      <c r="H64" s="100">
        <v>277</v>
      </c>
      <c r="K64" s="108"/>
      <c r="L64" s="112">
        <v>1000</v>
      </c>
      <c r="M64" s="113">
        <f t="shared" si="9"/>
        <v>149.25373134328359</v>
      </c>
      <c r="N64" s="113"/>
      <c r="O64" s="114">
        <v>290.5</v>
      </c>
      <c r="Q64" s="263" t="s">
        <v>97</v>
      </c>
      <c r="R64" s="264"/>
      <c r="S64" s="265"/>
    </row>
    <row r="65" spans="3:19" ht="14.1" customHeight="1" thickTop="1" x14ac:dyDescent="0.35">
      <c r="C65" s="2">
        <f t="shared" si="5"/>
        <v>261.34000000000003</v>
      </c>
      <c r="F65" s="98">
        <v>12800</v>
      </c>
      <c r="G65" s="99">
        <v>258.8</v>
      </c>
      <c r="H65" s="100">
        <v>277</v>
      </c>
      <c r="K65" s="108"/>
      <c r="L65" s="112">
        <v>1100</v>
      </c>
      <c r="M65" s="113">
        <f t="shared" si="9"/>
        <v>164.17910447761193</v>
      </c>
      <c r="N65" s="113"/>
      <c r="O65" s="114">
        <f>AVERAGE(O64,O66)</f>
        <v>290.05</v>
      </c>
      <c r="P65" s="40" t="s">
        <v>88</v>
      </c>
      <c r="Q65" s="101" t="s">
        <v>89</v>
      </c>
      <c r="R65" s="101" t="s">
        <v>34</v>
      </c>
      <c r="S65" s="101" t="s">
        <v>90</v>
      </c>
    </row>
    <row r="66" spans="3:19" ht="14.1" customHeight="1" x14ac:dyDescent="0.3">
      <c r="C66" s="2">
        <f t="shared" si="5"/>
        <v>261.34000000000003</v>
      </c>
      <c r="F66" s="98">
        <v>12900</v>
      </c>
      <c r="G66" s="99">
        <v>258.89999999999998</v>
      </c>
      <c r="H66" s="100">
        <v>277</v>
      </c>
      <c r="K66" s="108"/>
      <c r="L66" s="112">
        <v>1200</v>
      </c>
      <c r="M66" s="113">
        <f t="shared" si="9"/>
        <v>179.1044776119403</v>
      </c>
      <c r="N66" s="113"/>
      <c r="O66" s="114">
        <v>289.60000000000002</v>
      </c>
      <c r="P66" s="120" t="s">
        <v>63</v>
      </c>
      <c r="Q66" s="102">
        <v>328</v>
      </c>
      <c r="R66" s="102">
        <f>Q58</f>
        <v>193.5</v>
      </c>
      <c r="S66" s="102">
        <f t="shared" ref="S66:S72" si="10">(((Q66-274)*(R66))/1000)</f>
        <v>10.449</v>
      </c>
    </row>
    <row r="67" spans="3:19" ht="14.1" customHeight="1" x14ac:dyDescent="0.3">
      <c r="C67" s="2">
        <f t="shared" si="5"/>
        <v>261.34000000000003</v>
      </c>
      <c r="F67" s="98">
        <v>13000</v>
      </c>
      <c r="G67" s="99">
        <v>259</v>
      </c>
      <c r="H67" s="100">
        <v>277</v>
      </c>
      <c r="K67" s="108"/>
      <c r="L67" s="112">
        <v>1300</v>
      </c>
      <c r="M67" s="113">
        <f t="shared" si="9"/>
        <v>194.02985074626866</v>
      </c>
      <c r="N67" s="113"/>
      <c r="O67" s="114">
        <f>AVERAGE(O66,O68)</f>
        <v>289.14999999999998</v>
      </c>
      <c r="P67" s="120" t="s">
        <v>64</v>
      </c>
      <c r="Q67" s="2">
        <v>359</v>
      </c>
      <c r="R67" s="102">
        <f>Q51</f>
        <v>42</v>
      </c>
      <c r="S67" s="102">
        <f t="shared" si="10"/>
        <v>3.57</v>
      </c>
    </row>
    <row r="68" spans="3:19" ht="14.1" customHeight="1" x14ac:dyDescent="0.3">
      <c r="C68" s="2">
        <f t="shared" si="5"/>
        <v>261.34000000000003</v>
      </c>
      <c r="F68" s="98">
        <v>13100</v>
      </c>
      <c r="G68" s="99">
        <v>259.10000000000002</v>
      </c>
      <c r="H68" s="100">
        <v>277</v>
      </c>
      <c r="K68" s="108"/>
      <c r="L68" s="112">
        <v>1400</v>
      </c>
      <c r="M68" s="113">
        <f t="shared" si="9"/>
        <v>208.955223880597</v>
      </c>
      <c r="N68" s="113"/>
      <c r="O68" s="114">
        <v>288.7</v>
      </c>
      <c r="P68" s="120" t="s">
        <v>65</v>
      </c>
      <c r="Q68" s="102">
        <v>389</v>
      </c>
      <c r="R68" s="102">
        <f>Q39</f>
        <v>200</v>
      </c>
      <c r="S68" s="102">
        <f t="shared" si="10"/>
        <v>23</v>
      </c>
    </row>
    <row r="69" spans="3:19" ht="14.1" customHeight="1" x14ac:dyDescent="0.3">
      <c r="C69" s="2">
        <f t="shared" si="5"/>
        <v>261.34000000000003</v>
      </c>
      <c r="F69" s="98">
        <v>13200</v>
      </c>
      <c r="G69" s="99">
        <v>259.2</v>
      </c>
      <c r="H69" s="100">
        <v>277</v>
      </c>
      <c r="K69" s="108"/>
      <c r="L69" s="112">
        <v>1500</v>
      </c>
      <c r="M69" s="113">
        <f t="shared" si="9"/>
        <v>223.88059701492537</v>
      </c>
      <c r="N69" s="113"/>
      <c r="O69" s="114">
        <f>AVERAGE(O68,O70)</f>
        <v>288.25</v>
      </c>
      <c r="P69" s="120" t="s">
        <v>66</v>
      </c>
      <c r="Q69" s="102">
        <v>419</v>
      </c>
      <c r="R69" s="102">
        <f>Q40</f>
        <v>47</v>
      </c>
      <c r="S69" s="102">
        <f t="shared" si="10"/>
        <v>6.8150000000000004</v>
      </c>
    </row>
    <row r="70" spans="3:19" ht="14.1" customHeight="1" x14ac:dyDescent="0.3">
      <c r="C70" s="2">
        <f t="shared" si="5"/>
        <v>261.34000000000003</v>
      </c>
      <c r="F70" s="98">
        <v>13300</v>
      </c>
      <c r="G70" s="99">
        <v>259.3</v>
      </c>
      <c r="H70" s="100">
        <v>277</v>
      </c>
      <c r="K70" s="108"/>
      <c r="L70" s="112">
        <v>1600</v>
      </c>
      <c r="M70" s="113">
        <f t="shared" si="9"/>
        <v>238.80597014925374</v>
      </c>
      <c r="N70" s="113"/>
      <c r="O70" s="114">
        <v>287.8</v>
      </c>
      <c r="P70" s="18" t="s">
        <v>98</v>
      </c>
      <c r="Q70" s="2">
        <f>R37</f>
        <v>370</v>
      </c>
      <c r="R70" s="102">
        <f>Q37</f>
        <v>0</v>
      </c>
      <c r="S70" s="102">
        <f t="shared" si="10"/>
        <v>0</v>
      </c>
    </row>
    <row r="71" spans="3:19" ht="14.1" customHeight="1" x14ac:dyDescent="0.3">
      <c r="C71" s="2">
        <f t="shared" si="5"/>
        <v>261.34000000000003</v>
      </c>
      <c r="F71" s="98">
        <v>13400</v>
      </c>
      <c r="G71" s="99">
        <v>259.39999999999998</v>
      </c>
      <c r="H71" s="100">
        <v>277</v>
      </c>
      <c r="K71" s="108"/>
      <c r="L71" s="112">
        <v>1700</v>
      </c>
      <c r="M71" s="113">
        <f t="shared" si="9"/>
        <v>253.73134328358208</v>
      </c>
      <c r="N71" s="113"/>
      <c r="O71" s="114">
        <f>AVERAGE(O70,O72)</f>
        <v>287.39999999999998</v>
      </c>
      <c r="P71" s="18" t="s">
        <v>99</v>
      </c>
      <c r="Q71" s="2">
        <f>R39</f>
        <v>511</v>
      </c>
      <c r="R71" s="102">
        <f>Q39</f>
        <v>200</v>
      </c>
      <c r="S71" s="102">
        <f t="shared" si="10"/>
        <v>47.4</v>
      </c>
    </row>
    <row r="72" spans="3:19" ht="14.1" customHeight="1" thickBot="1" x14ac:dyDescent="0.35">
      <c r="C72" s="2">
        <f t="shared" si="5"/>
        <v>261.34000000000003</v>
      </c>
      <c r="F72" s="98">
        <v>13500</v>
      </c>
      <c r="G72" s="99">
        <v>259.5</v>
      </c>
      <c r="H72" s="100">
        <v>277</v>
      </c>
      <c r="K72" s="108"/>
      <c r="L72" s="112">
        <v>1800</v>
      </c>
      <c r="M72" s="113">
        <f t="shared" si="9"/>
        <v>268.65671641791045</v>
      </c>
      <c r="N72" s="113"/>
      <c r="O72" s="114">
        <v>287</v>
      </c>
      <c r="P72" s="18" t="s">
        <v>6</v>
      </c>
      <c r="Q72" s="115">
        <f>R41</f>
        <v>525</v>
      </c>
      <c r="R72" s="116">
        <f>Q41</f>
        <v>0</v>
      </c>
      <c r="S72" s="116">
        <f t="shared" si="10"/>
        <v>0</v>
      </c>
    </row>
    <row r="73" spans="3:19" ht="14.1" customHeight="1" thickTop="1" x14ac:dyDescent="0.35">
      <c r="C73" s="2">
        <f t="shared" si="5"/>
        <v>261.34000000000003</v>
      </c>
      <c r="F73" s="98">
        <v>13600</v>
      </c>
      <c r="G73" s="99">
        <v>259.60000000000002</v>
      </c>
      <c r="H73" s="100">
        <v>277</v>
      </c>
      <c r="K73" s="108"/>
      <c r="L73" s="112">
        <v>1900</v>
      </c>
      <c r="M73" s="113">
        <f t="shared" si="9"/>
        <v>283.58208955223881</v>
      </c>
      <c r="N73" s="113"/>
      <c r="O73" s="114">
        <f>AVERAGE(O72,O74)</f>
        <v>286.64999999999998</v>
      </c>
      <c r="Q73" s="1" t="s">
        <v>94</v>
      </c>
      <c r="R73" s="118">
        <f>SUM(R66:R72)</f>
        <v>682.5</v>
      </c>
      <c r="S73" s="118">
        <f>SUM(S66:S72)</f>
        <v>91.233999999999995</v>
      </c>
    </row>
    <row r="74" spans="3:19" ht="14.1" customHeight="1" thickBot="1" x14ac:dyDescent="0.4">
      <c r="C74" s="2">
        <f t="shared" si="5"/>
        <v>261.34000000000003</v>
      </c>
      <c r="F74" s="98">
        <v>13700</v>
      </c>
      <c r="G74" s="99">
        <v>259.7</v>
      </c>
      <c r="H74" s="100">
        <v>277</v>
      </c>
      <c r="K74" s="108"/>
      <c r="L74" s="112">
        <v>2000</v>
      </c>
      <c r="M74" s="113">
        <f t="shared" si="9"/>
        <v>298.50746268656718</v>
      </c>
      <c r="N74" s="113"/>
      <c r="O74" s="114">
        <v>286.3</v>
      </c>
      <c r="Q74" s="1" t="s">
        <v>95</v>
      </c>
      <c r="R74" s="119">
        <v>3138</v>
      </c>
      <c r="S74" s="119">
        <v>352.6</v>
      </c>
    </row>
    <row r="75" spans="3:19" ht="14.1" customHeight="1" thickTop="1" x14ac:dyDescent="0.3">
      <c r="C75" s="2">
        <f t="shared" si="5"/>
        <v>261.34000000000003</v>
      </c>
      <c r="F75" s="98">
        <v>13800</v>
      </c>
      <c r="G75" s="99">
        <v>259.8</v>
      </c>
      <c r="H75" s="100">
        <v>277</v>
      </c>
      <c r="K75" s="108"/>
      <c r="L75" s="112">
        <v>2100</v>
      </c>
      <c r="M75" s="113">
        <f t="shared" si="9"/>
        <v>313.43283582089549</v>
      </c>
      <c r="N75" s="113"/>
      <c r="O75" s="114">
        <f>AVERAGE(O74,O76)</f>
        <v>285.95000000000005</v>
      </c>
      <c r="R75" s="26" t="str">
        <f>IF(R73&gt;R74, "AFT WT BAD", "AFT WT OK")</f>
        <v>AFT WT OK</v>
      </c>
    </row>
    <row r="76" spans="3:19" ht="14.1" customHeight="1" x14ac:dyDescent="0.3">
      <c r="C76" s="2">
        <f t="shared" si="5"/>
        <v>261.34000000000003</v>
      </c>
      <c r="F76" s="98">
        <v>13900</v>
      </c>
      <c r="G76" s="99">
        <v>259.89999999999998</v>
      </c>
      <c r="H76" s="100">
        <v>277</v>
      </c>
      <c r="K76" s="108"/>
      <c r="L76" s="112">
        <v>2200</v>
      </c>
      <c r="M76" s="113">
        <f t="shared" si="9"/>
        <v>328.35820895522386</v>
      </c>
      <c r="N76" s="113"/>
      <c r="O76" s="114">
        <v>285.60000000000002</v>
      </c>
      <c r="R76" s="26"/>
      <c r="S76" s="26" t="str">
        <f>IF(S73&gt;S74, "AFT MOM BAD", "AFT MOM OK")</f>
        <v>AFT MOM OK</v>
      </c>
    </row>
    <row r="77" spans="3:19" ht="14.1" customHeight="1" x14ac:dyDescent="0.3">
      <c r="C77" s="2">
        <f t="shared" ref="C77:C99" si="11">IF(Take_Off_Wt.&lt;F79,G79,C78)</f>
        <v>261.34000000000003</v>
      </c>
      <c r="F77" s="98">
        <v>14000</v>
      </c>
      <c r="G77" s="99">
        <v>260</v>
      </c>
      <c r="H77" s="100">
        <v>277</v>
      </c>
      <c r="K77" s="108"/>
      <c r="L77" s="112">
        <v>2300</v>
      </c>
      <c r="M77" s="113">
        <f t="shared" si="9"/>
        <v>343.28358208955223</v>
      </c>
      <c r="N77" s="113"/>
      <c r="O77" s="114">
        <f>AVERAGE(O76,O78)</f>
        <v>285.3</v>
      </c>
    </row>
    <row r="78" spans="3:19" ht="14.1" customHeight="1" x14ac:dyDescent="0.3">
      <c r="C78" s="2">
        <f t="shared" si="11"/>
        <v>261.34000000000003</v>
      </c>
      <c r="F78" s="98">
        <v>14100</v>
      </c>
      <c r="G78" s="99">
        <v>260.14</v>
      </c>
      <c r="H78" s="100">
        <v>277</v>
      </c>
      <c r="K78" s="108"/>
      <c r="L78" s="112">
        <v>2400</v>
      </c>
      <c r="M78" s="113">
        <f t="shared" si="9"/>
        <v>358.20895522388059</v>
      </c>
      <c r="N78" s="113"/>
      <c r="O78" s="114">
        <v>285</v>
      </c>
    </row>
    <row r="79" spans="3:19" ht="14.1" customHeight="1" x14ac:dyDescent="0.3">
      <c r="C79" s="2">
        <f t="shared" si="11"/>
        <v>261.34000000000003</v>
      </c>
      <c r="F79" s="98">
        <v>14200</v>
      </c>
      <c r="G79" s="99">
        <v>260.28000000000003</v>
      </c>
      <c r="H79" s="100">
        <v>277</v>
      </c>
      <c r="K79" s="108"/>
      <c r="L79" s="112">
        <v>2500</v>
      </c>
      <c r="M79" s="113">
        <f t="shared" si="9"/>
        <v>373.13432835820896</v>
      </c>
      <c r="N79" s="113"/>
      <c r="O79" s="114">
        <f>AVERAGE(O78,O80)</f>
        <v>284.70000000000005</v>
      </c>
    </row>
    <row r="80" spans="3:19" ht="14.1" customHeight="1" x14ac:dyDescent="0.3">
      <c r="C80" s="2">
        <f t="shared" si="11"/>
        <v>261.34000000000003</v>
      </c>
      <c r="F80" s="98">
        <v>14300</v>
      </c>
      <c r="G80" s="99">
        <v>260.42</v>
      </c>
      <c r="H80" s="100">
        <v>277</v>
      </c>
      <c r="K80" s="108"/>
      <c r="L80" s="112">
        <v>2600</v>
      </c>
      <c r="M80" s="113">
        <f t="shared" si="9"/>
        <v>388.05970149253733</v>
      </c>
      <c r="N80" s="113"/>
      <c r="O80" s="114">
        <v>284.40000000000003</v>
      </c>
    </row>
    <row r="81" spans="3:15" ht="14.1" customHeight="1" x14ac:dyDescent="0.3">
      <c r="C81" s="2">
        <f t="shared" si="11"/>
        <v>261.34000000000003</v>
      </c>
      <c r="F81" s="98">
        <v>14400</v>
      </c>
      <c r="G81" s="99">
        <v>260.56</v>
      </c>
      <c r="H81" s="100">
        <v>277</v>
      </c>
      <c r="K81" s="108"/>
      <c r="L81" s="112">
        <v>2700</v>
      </c>
      <c r="M81" s="113">
        <f t="shared" si="9"/>
        <v>402.98507462686564</v>
      </c>
      <c r="N81" s="113"/>
      <c r="O81" s="114">
        <f>AVERAGE(O80,O82)</f>
        <v>284.15000000000003</v>
      </c>
    </row>
    <row r="82" spans="3:15" ht="14.1" customHeight="1" x14ac:dyDescent="0.3">
      <c r="C82" s="2">
        <f t="shared" si="11"/>
        <v>261.34000000000003</v>
      </c>
      <c r="F82" s="98">
        <v>14500</v>
      </c>
      <c r="G82" s="99">
        <v>260.7</v>
      </c>
      <c r="H82" s="100">
        <v>277</v>
      </c>
      <c r="K82" s="108"/>
      <c r="L82" s="112">
        <v>2800</v>
      </c>
      <c r="M82" s="113">
        <f t="shared" si="9"/>
        <v>417.91044776119401</v>
      </c>
      <c r="N82" s="113"/>
      <c r="O82" s="114">
        <v>283.90000000000003</v>
      </c>
    </row>
    <row r="83" spans="3:15" ht="14.1" customHeight="1" x14ac:dyDescent="0.3">
      <c r="C83" s="2">
        <f t="shared" si="11"/>
        <v>261.34000000000003</v>
      </c>
      <c r="F83" s="98">
        <v>14600</v>
      </c>
      <c r="G83" s="99">
        <v>260.78000000000003</v>
      </c>
      <c r="H83" s="100">
        <v>277</v>
      </c>
      <c r="K83" s="108"/>
      <c r="L83" s="112">
        <v>2900</v>
      </c>
      <c r="M83" s="113">
        <f t="shared" si="9"/>
        <v>432.83582089552237</v>
      </c>
      <c r="N83" s="113"/>
      <c r="O83" s="114">
        <f>AVERAGE(O82,O84)</f>
        <v>283.70000000000005</v>
      </c>
    </row>
    <row r="84" spans="3:15" ht="14.1" customHeight="1" x14ac:dyDescent="0.3">
      <c r="C84" s="2">
        <f t="shared" si="11"/>
        <v>261.34000000000003</v>
      </c>
      <c r="F84" s="98">
        <v>14700</v>
      </c>
      <c r="G84" s="99">
        <v>260.86</v>
      </c>
      <c r="H84" s="100">
        <v>277</v>
      </c>
      <c r="K84" s="108"/>
      <c r="L84" s="112">
        <v>3000</v>
      </c>
      <c r="M84" s="113">
        <f t="shared" si="9"/>
        <v>447.76119402985074</v>
      </c>
      <c r="N84" s="113"/>
      <c r="O84" s="114">
        <v>283.5</v>
      </c>
    </row>
    <row r="85" spans="3:15" ht="14.1" customHeight="1" x14ac:dyDescent="0.3">
      <c r="C85" s="2">
        <f t="shared" si="11"/>
        <v>261.34000000000003</v>
      </c>
      <c r="F85" s="98">
        <v>14800</v>
      </c>
      <c r="G85" s="99">
        <v>260.94</v>
      </c>
      <c r="H85" s="100">
        <v>277</v>
      </c>
      <c r="K85" s="108"/>
      <c r="L85" s="112">
        <v>3100</v>
      </c>
      <c r="M85" s="113">
        <f t="shared" si="9"/>
        <v>462.68656716417911</v>
      </c>
      <c r="N85" s="113"/>
      <c r="O85" s="114">
        <f>AVERAGE(O84,O86)</f>
        <v>283.25</v>
      </c>
    </row>
    <row r="86" spans="3:15" ht="14.1" customHeight="1" x14ac:dyDescent="0.3">
      <c r="C86" s="2">
        <f t="shared" si="11"/>
        <v>261.34000000000003</v>
      </c>
      <c r="F86" s="98">
        <v>14900</v>
      </c>
      <c r="G86" s="99">
        <v>261.02</v>
      </c>
      <c r="H86" s="100">
        <v>277</v>
      </c>
      <c r="K86" s="108"/>
      <c r="L86" s="112">
        <v>3200</v>
      </c>
      <c r="M86" s="113">
        <f t="shared" si="9"/>
        <v>477.61194029850748</v>
      </c>
      <c r="N86" s="113"/>
      <c r="O86" s="114">
        <v>283</v>
      </c>
    </row>
    <row r="87" spans="3:15" ht="14.1" customHeight="1" x14ac:dyDescent="0.3">
      <c r="C87" s="2">
        <f t="shared" si="11"/>
        <v>261.34000000000003</v>
      </c>
      <c r="F87" s="98">
        <v>15000</v>
      </c>
      <c r="G87" s="99">
        <v>261.10000000000002</v>
      </c>
      <c r="H87" s="100">
        <v>277</v>
      </c>
      <c r="K87" s="108"/>
      <c r="L87" s="112">
        <v>3300</v>
      </c>
      <c r="M87" s="113">
        <f t="shared" si="9"/>
        <v>492.53731343283579</v>
      </c>
      <c r="N87" s="113"/>
      <c r="O87" s="114">
        <f>AVERAGE(O86,O88)</f>
        <v>282.8</v>
      </c>
    </row>
    <row r="88" spans="3:15" ht="14.1" customHeight="1" x14ac:dyDescent="0.3">
      <c r="C88" s="2">
        <f t="shared" si="11"/>
        <v>261.34000000000003</v>
      </c>
      <c r="F88" s="98">
        <v>15100</v>
      </c>
      <c r="G88" s="99">
        <v>261.18</v>
      </c>
      <c r="H88" s="100">
        <v>277</v>
      </c>
      <c r="K88" s="108"/>
      <c r="L88" s="112">
        <v>3400</v>
      </c>
      <c r="M88" s="113">
        <f t="shared" si="9"/>
        <v>507.46268656716416</v>
      </c>
      <c r="N88" s="113"/>
      <c r="O88" s="114">
        <v>282.60000000000002</v>
      </c>
    </row>
    <row r="89" spans="3:15" ht="14.1" customHeight="1" x14ac:dyDescent="0.3">
      <c r="C89" s="2">
        <f t="shared" si="11"/>
        <v>261.42</v>
      </c>
      <c r="F89" s="98">
        <v>15200</v>
      </c>
      <c r="G89" s="99">
        <v>261.26</v>
      </c>
      <c r="H89" s="100">
        <v>277</v>
      </c>
      <c r="K89" s="108"/>
      <c r="L89" s="112">
        <v>3500</v>
      </c>
      <c r="M89" s="113">
        <f t="shared" si="9"/>
        <v>522.38805970149258</v>
      </c>
      <c r="N89" s="113"/>
      <c r="O89" s="114">
        <f>AVERAGE(O88,O90)</f>
        <v>282.45000000000005</v>
      </c>
    </row>
    <row r="90" spans="3:15" ht="14.1" customHeight="1" x14ac:dyDescent="0.3">
      <c r="C90" s="2">
        <f t="shared" si="11"/>
        <v>261.5</v>
      </c>
      <c r="F90" s="98">
        <v>15300</v>
      </c>
      <c r="G90" s="99">
        <v>261.34000000000003</v>
      </c>
      <c r="H90" s="100">
        <v>277</v>
      </c>
      <c r="K90" s="108"/>
      <c r="L90" s="112">
        <v>3600</v>
      </c>
      <c r="M90" s="113">
        <f t="shared" si="9"/>
        <v>537.31343283582089</v>
      </c>
      <c r="N90" s="113"/>
      <c r="O90" s="114">
        <v>282.3</v>
      </c>
    </row>
    <row r="91" spans="3:15" ht="14.1" customHeight="1" x14ac:dyDescent="0.3">
      <c r="C91" s="2">
        <f t="shared" si="11"/>
        <v>261.58</v>
      </c>
      <c r="F91" s="98">
        <v>15400</v>
      </c>
      <c r="G91" s="99">
        <v>261.42</v>
      </c>
      <c r="H91" s="100">
        <v>277</v>
      </c>
      <c r="K91" s="108"/>
      <c r="L91" s="112">
        <v>3700</v>
      </c>
      <c r="M91" s="113">
        <f t="shared" si="9"/>
        <v>552.2388059701492</v>
      </c>
      <c r="N91" s="113"/>
      <c r="O91" s="114">
        <f>AVERAGE(O90,O92)</f>
        <v>282.14999999999998</v>
      </c>
    </row>
    <row r="92" spans="3:15" ht="14.1" customHeight="1" x14ac:dyDescent="0.3">
      <c r="C92" s="2">
        <f t="shared" si="11"/>
        <v>261.66000000000003</v>
      </c>
      <c r="F92" s="98">
        <v>15500</v>
      </c>
      <c r="G92" s="99">
        <v>261.5</v>
      </c>
      <c r="H92" s="100">
        <v>277</v>
      </c>
      <c r="K92" s="108"/>
      <c r="L92" s="112">
        <v>3800</v>
      </c>
      <c r="M92" s="113">
        <f t="shared" si="9"/>
        <v>567.16417910447763</v>
      </c>
      <c r="N92" s="113"/>
      <c r="O92" s="114">
        <v>282</v>
      </c>
    </row>
    <row r="93" spans="3:15" ht="14.1" customHeight="1" x14ac:dyDescent="0.3">
      <c r="C93" s="2">
        <f t="shared" si="11"/>
        <v>261.74</v>
      </c>
      <c r="F93" s="98">
        <v>15600</v>
      </c>
      <c r="G93" s="99">
        <v>261.58</v>
      </c>
      <c r="H93" s="100">
        <v>277</v>
      </c>
      <c r="K93" s="108"/>
      <c r="L93" s="112">
        <v>3900</v>
      </c>
      <c r="M93" s="113">
        <f t="shared" si="9"/>
        <v>582.08955223880594</v>
      </c>
      <c r="N93" s="113"/>
      <c r="O93" s="114">
        <f>AVERAGE(O92,O94)</f>
        <v>281.85000000000002</v>
      </c>
    </row>
    <row r="94" spans="3:15" ht="14.1" customHeight="1" x14ac:dyDescent="0.3">
      <c r="C94" s="2">
        <f t="shared" si="11"/>
        <v>261.82</v>
      </c>
      <c r="F94" s="98">
        <v>15700</v>
      </c>
      <c r="G94" s="99">
        <v>261.66000000000003</v>
      </c>
      <c r="H94" s="100">
        <v>277</v>
      </c>
      <c r="K94" s="108"/>
      <c r="L94" s="112">
        <v>4000</v>
      </c>
      <c r="M94" s="113">
        <f t="shared" si="9"/>
        <v>597.01492537313436</v>
      </c>
      <c r="N94" s="110"/>
      <c r="O94" s="114">
        <v>281.7</v>
      </c>
    </row>
    <row r="95" spans="3:15" ht="14.1" customHeight="1" x14ac:dyDescent="0.3">
      <c r="C95" s="2">
        <f t="shared" si="11"/>
        <v>261.89999999999998</v>
      </c>
      <c r="F95" s="98">
        <v>15800</v>
      </c>
      <c r="G95" s="99">
        <v>261.74</v>
      </c>
      <c r="H95" s="100">
        <v>277</v>
      </c>
      <c r="K95" s="108"/>
      <c r="L95" s="112">
        <v>4100</v>
      </c>
      <c r="M95" s="113">
        <f t="shared" si="9"/>
        <v>611.94029850746267</v>
      </c>
      <c r="N95" s="113"/>
      <c r="O95" s="114">
        <f>AVERAGE(O94,O96)</f>
        <v>281.55</v>
      </c>
    </row>
    <row r="96" spans="3:15" ht="14.1" customHeight="1" x14ac:dyDescent="0.3">
      <c r="C96" s="2">
        <f t="shared" si="11"/>
        <v>261.98</v>
      </c>
      <c r="F96" s="98">
        <v>15900</v>
      </c>
      <c r="G96" s="99">
        <v>261.82</v>
      </c>
      <c r="H96" s="100">
        <v>277</v>
      </c>
      <c r="K96" s="108"/>
      <c r="L96" s="112">
        <v>4200</v>
      </c>
      <c r="M96" s="113">
        <f t="shared" si="9"/>
        <v>626.86567164179098</v>
      </c>
      <c r="N96" s="121"/>
      <c r="O96" s="114">
        <v>281.40000000000003</v>
      </c>
    </row>
    <row r="97" spans="3:15" ht="14.1" customHeight="1" x14ac:dyDescent="0.3">
      <c r="C97" s="2">
        <f t="shared" si="11"/>
        <v>262.06</v>
      </c>
      <c r="F97" s="98">
        <v>16000</v>
      </c>
      <c r="G97" s="99">
        <v>261.89999999999998</v>
      </c>
      <c r="H97" s="100">
        <v>277</v>
      </c>
      <c r="K97" s="108"/>
      <c r="L97" s="112">
        <v>4342</v>
      </c>
      <c r="M97" s="125">
        <f t="shared" si="9"/>
        <v>648.05970149253733</v>
      </c>
      <c r="N97" s="126"/>
      <c r="O97" s="114">
        <v>281.3</v>
      </c>
    </row>
    <row r="98" spans="3:15" ht="14.1" customHeight="1" x14ac:dyDescent="0.3">
      <c r="C98" s="2">
        <f t="shared" si="11"/>
        <v>262.14</v>
      </c>
      <c r="F98" s="122">
        <v>16100</v>
      </c>
      <c r="G98" s="123">
        <v>261.98</v>
      </c>
      <c r="H98" s="124">
        <v>277</v>
      </c>
      <c r="K98" s="127" t="s">
        <v>56</v>
      </c>
      <c r="L98" s="128">
        <v>4400</v>
      </c>
      <c r="M98" s="129">
        <f>L98/6.8</f>
        <v>647.05882352941182</v>
      </c>
      <c r="N98" s="126"/>
      <c r="O98" s="130">
        <v>281.3</v>
      </c>
    </row>
    <row r="99" spans="3:15" ht="14.1" customHeight="1" x14ac:dyDescent="0.3">
      <c r="C99" s="2">
        <f t="shared" si="11"/>
        <v>262.22000000000003</v>
      </c>
      <c r="F99" s="122">
        <v>16200</v>
      </c>
      <c r="G99" s="123">
        <v>262.06</v>
      </c>
      <c r="H99" s="124">
        <v>277</v>
      </c>
      <c r="K99" s="127" t="s">
        <v>57</v>
      </c>
      <c r="L99" s="112">
        <v>4600</v>
      </c>
      <c r="M99" s="125">
        <f>L99/7.1</f>
        <v>647.88732394366195</v>
      </c>
      <c r="N99" s="126"/>
      <c r="O99" s="130">
        <v>281.3</v>
      </c>
    </row>
    <row r="100" spans="3:15" ht="14.1" customHeight="1" x14ac:dyDescent="0.3">
      <c r="C100" s="2">
        <f>IF(Take_Off_Wt.&lt;F102,G102,#REF!)</f>
        <v>262.3</v>
      </c>
      <c r="F100" s="122">
        <v>16300</v>
      </c>
      <c r="G100" s="123">
        <v>262.14</v>
      </c>
      <c r="H100" s="124">
        <v>277</v>
      </c>
    </row>
    <row r="101" spans="3:15" ht="14.1" customHeight="1" x14ac:dyDescent="0.3">
      <c r="F101" s="122">
        <v>16400</v>
      </c>
      <c r="G101" s="123">
        <v>262.22000000000003</v>
      </c>
      <c r="H101" s="124">
        <v>277</v>
      </c>
    </row>
    <row r="102" spans="3:15" ht="14.1" customHeight="1" x14ac:dyDescent="0.3">
      <c r="F102" s="122">
        <v>16500</v>
      </c>
      <c r="G102" s="123">
        <v>262.3</v>
      </c>
      <c r="H102" s="124">
        <v>277</v>
      </c>
    </row>
    <row r="103" spans="3:15" ht="14.1" customHeight="1" x14ac:dyDescent="0.3"/>
    <row r="104" spans="3:15" ht="14.1" customHeight="1" x14ac:dyDescent="0.3"/>
    <row r="105" spans="3:15" ht="14.1" customHeight="1" x14ac:dyDescent="0.3"/>
    <row r="106" spans="3:15" ht="14.1" customHeight="1" x14ac:dyDescent="0.3"/>
    <row r="107" spans="3:15" ht="14.1" customHeight="1" x14ac:dyDescent="0.3"/>
    <row r="108" spans="3:15" ht="14.1" customHeight="1" x14ac:dyDescent="0.3"/>
    <row r="109" spans="3:15" ht="14.1" customHeight="1" x14ac:dyDescent="0.3"/>
    <row r="110" spans="3:15" ht="14.1" customHeight="1" x14ac:dyDescent="0.3"/>
    <row r="111" spans="3:15" ht="14.1" customHeight="1" x14ac:dyDescent="0.3"/>
    <row r="112" spans="3:15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  <row r="124" ht="14.1" customHeight="1" x14ac:dyDescent="0.3"/>
    <row r="125" ht="14.1" customHeight="1" x14ac:dyDescent="0.3"/>
    <row r="126" ht="14.1" customHeight="1" x14ac:dyDescent="0.3"/>
    <row r="127" ht="14.1" customHeight="1" x14ac:dyDescent="0.3"/>
    <row r="128" ht="14.1" customHeight="1" x14ac:dyDescent="0.3"/>
    <row r="129" ht="14.1" customHeight="1" x14ac:dyDescent="0.3"/>
    <row r="130" ht="14.1" customHeight="1" x14ac:dyDescent="0.3"/>
    <row r="131" ht="14.1" customHeight="1" x14ac:dyDescent="0.3"/>
    <row r="132" ht="14.1" customHeight="1" x14ac:dyDescent="0.3"/>
    <row r="133" ht="14.1" customHeight="1" x14ac:dyDescent="0.3"/>
    <row r="134" ht="14.1" customHeight="1" x14ac:dyDescent="0.3"/>
    <row r="135" ht="14.1" customHeight="1" x14ac:dyDescent="0.3"/>
    <row r="136" ht="14.1" customHeight="1" x14ac:dyDescent="0.3"/>
    <row r="137" ht="14.1" customHeight="1" x14ac:dyDescent="0.3"/>
    <row r="138" ht="14.1" customHeight="1" x14ac:dyDescent="0.3"/>
    <row r="139" ht="14.1" customHeight="1" x14ac:dyDescent="0.3"/>
    <row r="140" ht="14.1" customHeight="1" x14ac:dyDescent="0.3"/>
    <row r="141" ht="14.1" customHeight="1" x14ac:dyDescent="0.3"/>
    <row r="142" ht="14.1" customHeight="1" x14ac:dyDescent="0.3"/>
    <row r="143" ht="14.1" customHeight="1" x14ac:dyDescent="0.3"/>
    <row r="144" ht="14.1" customHeight="1" x14ac:dyDescent="0.3"/>
    <row r="145" ht="14.1" customHeight="1" x14ac:dyDescent="0.3"/>
    <row r="146" ht="14.1" customHeight="1" x14ac:dyDescent="0.3"/>
    <row r="147" ht="14.1" customHeight="1" x14ac:dyDescent="0.3"/>
    <row r="148" ht="14.1" customHeight="1" x14ac:dyDescent="0.3"/>
    <row r="149" ht="14.1" customHeight="1" x14ac:dyDescent="0.3"/>
    <row r="150" ht="14.1" customHeight="1" x14ac:dyDescent="0.3"/>
    <row r="151" ht="14.1" customHeight="1" x14ac:dyDescent="0.3"/>
    <row r="152" ht="14.1" customHeight="1" x14ac:dyDescent="0.3"/>
    <row r="153" ht="14.1" customHeight="1" x14ac:dyDescent="0.3"/>
    <row r="154" ht="14.1" customHeight="1" x14ac:dyDescent="0.3"/>
    <row r="155" ht="14.1" customHeight="1" x14ac:dyDescent="0.3"/>
    <row r="156" ht="14.1" customHeight="1" x14ac:dyDescent="0.3"/>
    <row r="157" ht="14.1" customHeight="1" x14ac:dyDescent="0.3"/>
    <row r="158" ht="14.1" customHeight="1" x14ac:dyDescent="0.3"/>
    <row r="159" ht="14.1" customHeight="1" x14ac:dyDescent="0.3"/>
    <row r="160" ht="14.1" customHeight="1" x14ac:dyDescent="0.3"/>
    <row r="161" ht="14.1" customHeight="1" x14ac:dyDescent="0.3"/>
    <row r="162" ht="14.1" customHeight="1" x14ac:dyDescent="0.3"/>
    <row r="163" ht="14.1" customHeight="1" x14ac:dyDescent="0.3"/>
    <row r="164" ht="14.1" customHeight="1" x14ac:dyDescent="0.3"/>
    <row r="165" ht="14.1" customHeight="1" x14ac:dyDescent="0.3"/>
    <row r="166" ht="14.1" customHeight="1" x14ac:dyDescent="0.3"/>
    <row r="167" ht="14.1" customHeight="1" x14ac:dyDescent="0.3"/>
    <row r="168" ht="14.1" customHeight="1" x14ac:dyDescent="0.3"/>
    <row r="169" ht="14.1" customHeight="1" x14ac:dyDescent="0.3"/>
    <row r="170" ht="14.1" customHeight="1" x14ac:dyDescent="0.3"/>
    <row r="171" ht="14.1" customHeight="1" x14ac:dyDescent="0.3"/>
    <row r="172" ht="14.1" customHeight="1" x14ac:dyDescent="0.3"/>
    <row r="173" ht="14.1" customHeight="1" x14ac:dyDescent="0.3"/>
    <row r="174" ht="14.1" customHeight="1" x14ac:dyDescent="0.3"/>
    <row r="175" ht="14.1" customHeight="1" x14ac:dyDescent="0.3"/>
    <row r="176" ht="14.1" customHeight="1" x14ac:dyDescent="0.3"/>
    <row r="177" ht="14.1" customHeight="1" x14ac:dyDescent="0.3"/>
    <row r="178" ht="14.1" customHeight="1" x14ac:dyDescent="0.3"/>
    <row r="179" ht="14.1" customHeight="1" x14ac:dyDescent="0.3"/>
    <row r="180" ht="14.1" customHeight="1" x14ac:dyDescent="0.3"/>
    <row r="181" ht="14.1" customHeight="1" x14ac:dyDescent="0.3"/>
    <row r="182" ht="14.1" customHeight="1" x14ac:dyDescent="0.3"/>
    <row r="183" ht="14.1" customHeight="1" x14ac:dyDescent="0.3"/>
    <row r="184" ht="14.1" customHeight="1" x14ac:dyDescent="0.3"/>
    <row r="185" ht="14.1" customHeight="1" x14ac:dyDescent="0.3"/>
    <row r="186" ht="14.1" customHeight="1" x14ac:dyDescent="0.3"/>
    <row r="187" ht="14.1" customHeight="1" x14ac:dyDescent="0.3"/>
    <row r="188" ht="14.1" customHeight="1" x14ac:dyDescent="0.3"/>
    <row r="189" ht="14.1" customHeight="1" x14ac:dyDescent="0.3"/>
    <row r="190" ht="14.1" customHeight="1" x14ac:dyDescent="0.3"/>
    <row r="191" ht="14.1" customHeight="1" x14ac:dyDescent="0.3"/>
    <row r="192" ht="14.1" customHeight="1" x14ac:dyDescent="0.3"/>
    <row r="193" ht="14.1" customHeight="1" x14ac:dyDescent="0.3"/>
    <row r="194" ht="14.1" customHeight="1" x14ac:dyDescent="0.3"/>
    <row r="195" ht="14.1" customHeight="1" x14ac:dyDescent="0.3"/>
    <row r="196" ht="14.1" customHeight="1" x14ac:dyDescent="0.3"/>
    <row r="197" ht="14.1" customHeight="1" x14ac:dyDescent="0.3"/>
    <row r="198" ht="14.1" customHeight="1" x14ac:dyDescent="0.3"/>
    <row r="199" ht="14.1" customHeight="1" x14ac:dyDescent="0.3"/>
    <row r="200" ht="14.1" customHeight="1" x14ac:dyDescent="0.3"/>
    <row r="201" ht="14.1" customHeight="1" x14ac:dyDescent="0.3"/>
    <row r="202" ht="14.1" customHeight="1" x14ac:dyDescent="0.3"/>
    <row r="203" ht="14.1" customHeight="1" x14ac:dyDescent="0.3"/>
    <row r="204" ht="14.1" customHeight="1" x14ac:dyDescent="0.3"/>
    <row r="205" ht="14.1" customHeight="1" x14ac:dyDescent="0.3"/>
    <row r="206" ht="14.1" customHeight="1" x14ac:dyDescent="0.3"/>
    <row r="207" ht="14.1" customHeight="1" x14ac:dyDescent="0.3"/>
    <row r="208" ht="14.1" customHeight="1" x14ac:dyDescent="0.3"/>
    <row r="209" ht="14.1" customHeight="1" x14ac:dyDescent="0.3"/>
    <row r="210" ht="14.1" customHeight="1" x14ac:dyDescent="0.3"/>
    <row r="211" ht="14.1" customHeight="1" x14ac:dyDescent="0.3"/>
    <row r="212" ht="14.1" customHeight="1" x14ac:dyDescent="0.3"/>
    <row r="213" ht="14.1" customHeight="1" x14ac:dyDescent="0.3"/>
    <row r="214" ht="14.1" customHeight="1" x14ac:dyDescent="0.3"/>
    <row r="215" ht="14.1" customHeight="1" x14ac:dyDescent="0.3"/>
    <row r="216" ht="14.1" customHeight="1" x14ac:dyDescent="0.3"/>
    <row r="217" ht="14.1" customHeight="1" x14ac:dyDescent="0.3"/>
    <row r="218" ht="14.1" customHeight="1" x14ac:dyDescent="0.3"/>
    <row r="219" ht="14.1" customHeight="1" x14ac:dyDescent="0.3"/>
    <row r="220" ht="14.1" customHeight="1" x14ac:dyDescent="0.3"/>
    <row r="221" ht="14.1" customHeight="1" x14ac:dyDescent="0.3"/>
    <row r="222" ht="14.1" customHeight="1" x14ac:dyDescent="0.3"/>
    <row r="223" ht="14.1" customHeight="1" x14ac:dyDescent="0.3"/>
    <row r="224" ht="14.1" customHeight="1" x14ac:dyDescent="0.3"/>
    <row r="225" ht="14.1" customHeight="1" x14ac:dyDescent="0.3"/>
    <row r="226" ht="14.1" customHeight="1" x14ac:dyDescent="0.3"/>
  </sheetData>
  <sheetProtection sheet="1" objects="1" scenarios="1"/>
  <customSheetViews>
    <customSheetView guid="{4F507386-4E6B-4875-9561-87445ECB3559}" showPageBreaks="1" showGridLines="0" fitToPage="1" printArea="1" topLeftCell="B1">
      <selection activeCell="H2" sqref="H2"/>
      <pageMargins left="0.75" right="0.75" top="1" bottom="1" header="0.5" footer="0.5"/>
      <printOptions gridLines="1"/>
      <pageSetup scale="76" orientation="portrait" r:id="rId1"/>
      <headerFooter alignWithMargins="0"/>
    </customSheetView>
    <customSheetView guid="{AF11E29A-50E1-4A26-95AE-CA01C1F61192}" showPageBreaks="1" showGridLines="0" fitToPage="1" printArea="1" topLeftCell="B1">
      <selection activeCell="M26" sqref="M26"/>
      <pageMargins left="0.75" right="0.75" top="1" bottom="1" header="0.5" footer="0.5"/>
      <printOptions gridLines="1"/>
      <pageSetup scale="76" orientation="portrait" r:id="rId2"/>
      <headerFooter alignWithMargins="0"/>
    </customSheetView>
  </customSheetViews>
  <mergeCells count="36">
    <mergeCell ref="K4:L4"/>
    <mergeCell ref="K5:L5"/>
    <mergeCell ref="E34:G34"/>
    <mergeCell ref="E35:G35"/>
    <mergeCell ref="E36:G36"/>
    <mergeCell ref="I6:J6"/>
    <mergeCell ref="E29:G29"/>
    <mergeCell ref="E30:G30"/>
    <mergeCell ref="E31:G31"/>
    <mergeCell ref="E32:G32"/>
    <mergeCell ref="E33:G33"/>
    <mergeCell ref="B27:G27"/>
    <mergeCell ref="E26:G26"/>
    <mergeCell ref="S6:T6"/>
    <mergeCell ref="I7:J7"/>
    <mergeCell ref="J8:M8"/>
    <mergeCell ref="S12:T12"/>
    <mergeCell ref="D16:E19"/>
    <mergeCell ref="D10:E15"/>
    <mergeCell ref="U15:V16"/>
    <mergeCell ref="J16:L16"/>
    <mergeCell ref="I18:J18"/>
    <mergeCell ref="I27:J27"/>
    <mergeCell ref="S15:T16"/>
    <mergeCell ref="V21:Z21"/>
    <mergeCell ref="P15:Q19"/>
    <mergeCell ref="Q64:S64"/>
    <mergeCell ref="L22:M22"/>
    <mergeCell ref="I30:J30"/>
    <mergeCell ref="I31:J31"/>
    <mergeCell ref="I32:J32"/>
    <mergeCell ref="I33:J33"/>
    <mergeCell ref="M53:M54"/>
    <mergeCell ref="O53:O54"/>
    <mergeCell ref="I28:J28"/>
    <mergeCell ref="P47:S47"/>
  </mergeCells>
  <dataValidations count="1">
    <dataValidation type="list" showInputMessage="1" showErrorMessage="1" promptTitle="S/G Location" prompt="Please select from the list" sqref="D9" xr:uid="{51C383E8-A0CE-4217-B5E7-61C11037CA9E}">
      <formula1>$X$16:$X$17</formula1>
    </dataValidation>
  </dataValidations>
  <printOptions gridLines="1"/>
  <pageMargins left="0.75" right="0.75" top="1" bottom="1" header="0.5" footer="0.5"/>
  <pageSetup scale="76" orientation="portrait" r:id="rId3"/>
  <headerFooter alignWithMargins="0"/>
  <ignoredErrors>
    <ignoredError sqref="I12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226"/>
  <sheetViews>
    <sheetView showGridLines="0" zoomScaleNormal="100" workbookViewId="0">
      <selection activeCell="D9" sqref="D9"/>
    </sheetView>
  </sheetViews>
  <sheetFormatPr defaultColWidth="10" defaultRowHeight="15" x14ac:dyDescent="0.3"/>
  <cols>
    <col min="1" max="1" width="2.42578125" style="1" customWidth="1"/>
    <col min="2" max="2" width="10.42578125" style="1" customWidth="1"/>
    <col min="3" max="3" width="7.85546875" style="1" customWidth="1"/>
    <col min="4" max="4" width="15.85546875" style="1" customWidth="1"/>
    <col min="5" max="5" width="2.42578125" style="1" customWidth="1"/>
    <col min="6" max="6" width="22.5703125" style="1" customWidth="1"/>
    <col min="7" max="7" width="12.28515625" style="1" customWidth="1"/>
    <col min="8" max="8" width="15.85546875" style="1" customWidth="1"/>
    <col min="9" max="9" width="10.5703125" style="1" customWidth="1"/>
    <col min="10" max="10" width="9.140625" style="1" customWidth="1"/>
    <col min="11" max="11" width="9.5703125" style="1" customWidth="1"/>
    <col min="12" max="12" width="7.7109375" style="1" customWidth="1"/>
    <col min="13" max="13" width="14.7109375" style="1" customWidth="1"/>
    <col min="14" max="14" width="1.140625" style="1" customWidth="1"/>
    <col min="15" max="15" width="7" style="1" customWidth="1"/>
    <col min="16" max="16" width="19.5703125" style="1" customWidth="1"/>
    <col min="17" max="17" width="11.7109375" style="1" customWidth="1"/>
    <col min="18" max="18" width="9.28515625" style="1" customWidth="1"/>
    <col min="19" max="19" width="11.28515625" style="1" customWidth="1"/>
    <col min="20" max="20" width="8" style="1" customWidth="1"/>
    <col min="21" max="21" width="1.7109375" style="1" customWidth="1"/>
    <col min="22" max="22" width="20.5703125" style="1" bestFit="1" customWidth="1"/>
    <col min="23" max="23" width="5.7109375" style="1" bestFit="1" customWidth="1"/>
    <col min="24" max="24" width="5.42578125" style="1" bestFit="1" customWidth="1"/>
    <col min="25" max="25" width="5.5703125" style="1" bestFit="1" customWidth="1"/>
    <col min="26" max="26" width="5" style="1" bestFit="1" customWidth="1"/>
    <col min="27" max="27" width="6" style="1" bestFit="1" customWidth="1"/>
    <col min="28" max="16384" width="10" style="1"/>
  </cols>
  <sheetData>
    <row r="1" spans="4:27" ht="6.6" customHeight="1" thickBot="1" x14ac:dyDescent="0.35"/>
    <row r="2" spans="4:27" ht="23.25" customHeight="1" x14ac:dyDescent="0.5">
      <c r="D2" s="135"/>
      <c r="E2" s="136"/>
      <c r="F2" s="136"/>
      <c r="G2" s="137" t="s">
        <v>149</v>
      </c>
      <c r="H2" s="136"/>
      <c r="I2" s="136"/>
      <c r="J2" s="136"/>
      <c r="K2" s="136"/>
      <c r="L2" s="136"/>
      <c r="M2" s="138"/>
    </row>
    <row r="3" spans="4:27" ht="6.75" customHeight="1" thickBot="1" x14ac:dyDescent="0.45">
      <c r="D3" s="31"/>
      <c r="F3" s="10"/>
      <c r="G3" s="11"/>
      <c r="H3" s="12"/>
      <c r="I3" s="13"/>
      <c r="J3" s="13"/>
      <c r="M3" s="139"/>
    </row>
    <row r="4" spans="4:27" ht="20.25" customHeight="1" thickTop="1" thickBot="1" x14ac:dyDescent="0.4">
      <c r="D4" s="31"/>
      <c r="F4" s="14" t="s">
        <v>0</v>
      </c>
      <c r="G4" s="131">
        <v>420</v>
      </c>
      <c r="H4" s="15" t="s">
        <v>1</v>
      </c>
      <c r="I4" s="131">
        <v>150</v>
      </c>
      <c r="J4" s="219" t="s">
        <v>2</v>
      </c>
      <c r="K4" s="281" t="s">
        <v>151</v>
      </c>
      <c r="L4" s="282"/>
      <c r="M4" s="223">
        <v>46146</v>
      </c>
      <c r="Q4" s="16"/>
      <c r="T4" s="16"/>
      <c r="U4" s="7"/>
      <c r="V4" s="7"/>
    </row>
    <row r="5" spans="4:27" ht="15" customHeight="1" thickBot="1" x14ac:dyDescent="0.4">
      <c r="D5" s="31"/>
      <c r="F5" s="14" t="s">
        <v>114</v>
      </c>
      <c r="G5" s="131">
        <v>0</v>
      </c>
      <c r="H5" s="17" t="s">
        <v>3</v>
      </c>
      <c r="I5" s="131">
        <v>2</v>
      </c>
      <c r="J5" s="220"/>
      <c r="K5" s="283" t="s">
        <v>152</v>
      </c>
      <c r="L5" s="284"/>
      <c r="M5" s="224" t="s">
        <v>178</v>
      </c>
      <c r="O5" s="5" t="s">
        <v>159</v>
      </c>
      <c r="P5" s="18"/>
      <c r="Q5" s="16" t="s">
        <v>60</v>
      </c>
      <c r="T5" s="18"/>
      <c r="U5"/>
      <c r="V5"/>
      <c r="W5" s="94" t="s">
        <v>89</v>
      </c>
      <c r="X5" s="94" t="s">
        <v>133</v>
      </c>
      <c r="Y5"/>
      <c r="Z5"/>
      <c r="AA5"/>
    </row>
    <row r="6" spans="4:27" ht="15" customHeight="1" thickTop="1" thickBot="1" x14ac:dyDescent="0.4">
      <c r="D6" s="31"/>
      <c r="F6" s="14" t="s">
        <v>68</v>
      </c>
      <c r="G6" s="171">
        <v>0</v>
      </c>
      <c r="H6" s="19" t="s">
        <v>5</v>
      </c>
      <c r="I6" s="293" t="s">
        <v>60</v>
      </c>
      <c r="J6" s="294"/>
      <c r="M6" s="139"/>
      <c r="P6" s="18" t="s">
        <v>108</v>
      </c>
      <c r="Q6" s="20">
        <v>16000</v>
      </c>
      <c r="S6" s="246"/>
      <c r="T6" s="247"/>
      <c r="U6"/>
      <c r="V6" s="227" t="s">
        <v>168</v>
      </c>
      <c r="W6">
        <v>167</v>
      </c>
      <c r="X6" s="94" t="s">
        <v>134</v>
      </c>
      <c r="Y6" s="182" t="s">
        <v>136</v>
      </c>
      <c r="Z6"/>
      <c r="AA6" s="183" t="s">
        <v>140</v>
      </c>
    </row>
    <row r="7" spans="4:27" ht="15" customHeight="1" x14ac:dyDescent="0.35">
      <c r="D7" s="154" t="s">
        <v>6</v>
      </c>
      <c r="F7" s="14" t="s">
        <v>69</v>
      </c>
      <c r="G7" s="171">
        <v>0</v>
      </c>
      <c r="H7" s="19" t="s">
        <v>8</v>
      </c>
      <c r="I7" s="248" t="s">
        <v>71</v>
      </c>
      <c r="J7" s="249"/>
      <c r="M7" s="139"/>
      <c r="P7" s="18" t="s">
        <v>109</v>
      </c>
      <c r="Q7" s="20">
        <v>13900</v>
      </c>
      <c r="T7" s="18"/>
      <c r="U7"/>
      <c r="V7" s="227" t="s">
        <v>163</v>
      </c>
      <c r="W7">
        <v>220</v>
      </c>
      <c r="X7" s="94">
        <f>W7-W6</f>
        <v>53</v>
      </c>
      <c r="Y7" s="181">
        <f>(X7*100)/W12</f>
        <v>14.600550964187327</v>
      </c>
      <c r="Z7" s="229">
        <v>14.6</v>
      </c>
      <c r="AA7" s="184">
        <f>Y7/100</f>
        <v>0.14600550964187328</v>
      </c>
    </row>
    <row r="8" spans="4:27" ht="15" customHeight="1" x14ac:dyDescent="0.35">
      <c r="D8" s="155" t="s">
        <v>9</v>
      </c>
      <c r="F8" s="14" t="s">
        <v>73</v>
      </c>
      <c r="G8" s="171">
        <v>0</v>
      </c>
      <c r="H8" s="19" t="s">
        <v>11</v>
      </c>
      <c r="I8" s="133">
        <v>1</v>
      </c>
      <c r="J8" s="250" t="s">
        <v>72</v>
      </c>
      <c r="K8" s="247"/>
      <c r="L8" s="247"/>
      <c r="M8" s="251"/>
      <c r="N8"/>
      <c r="O8"/>
      <c r="P8" s="18" t="s">
        <v>110</v>
      </c>
      <c r="Q8" s="20">
        <v>15500</v>
      </c>
      <c r="T8" s="18"/>
      <c r="U8"/>
      <c r="V8" s="227" t="s">
        <v>164</v>
      </c>
      <c r="W8">
        <v>317</v>
      </c>
      <c r="X8" s="94">
        <f t="shared" ref="X8:X11" si="0">W8-W7</f>
        <v>97</v>
      </c>
      <c r="Y8" s="181">
        <f>(X8*100)/W12</f>
        <v>26.721763085399449</v>
      </c>
      <c r="Z8" s="229">
        <v>28</v>
      </c>
      <c r="AA8" s="184">
        <f t="shared" ref="AA8:AA13" si="1">Y8/100</f>
        <v>0.26721763085399447</v>
      </c>
    </row>
    <row r="9" spans="4:27" ht="15" customHeight="1" thickBot="1" x14ac:dyDescent="0.4">
      <c r="D9" s="156" t="s">
        <v>180</v>
      </c>
      <c r="F9" s="14" t="s">
        <v>74</v>
      </c>
      <c r="G9" s="171">
        <v>0</v>
      </c>
      <c r="H9" s="19" t="s">
        <v>13</v>
      </c>
      <c r="I9" s="21">
        <f>VLOOKUP(I8,B29:D38,2,TRUE)</f>
        <v>9192</v>
      </c>
      <c r="J9" s="22"/>
      <c r="M9" s="139"/>
      <c r="P9" s="18" t="s">
        <v>111</v>
      </c>
      <c r="Q9" s="23">
        <v>15.5</v>
      </c>
      <c r="T9" s="18"/>
      <c r="U9"/>
      <c r="V9" s="227" t="s">
        <v>165</v>
      </c>
      <c r="W9">
        <v>437</v>
      </c>
      <c r="X9" s="94">
        <f t="shared" si="0"/>
        <v>120</v>
      </c>
      <c r="Y9" s="181">
        <f>(X9*100)/W12</f>
        <v>33.057851239669418</v>
      </c>
      <c r="Z9" s="229">
        <v>34</v>
      </c>
      <c r="AA9" s="184">
        <f t="shared" si="1"/>
        <v>0.33057851239669417</v>
      </c>
    </row>
    <row r="10" spans="4:27" ht="15" customHeight="1" thickBot="1" x14ac:dyDescent="0.4">
      <c r="D10" s="31"/>
      <c r="F10" s="14" t="s">
        <v>75</v>
      </c>
      <c r="G10" s="171">
        <v>0</v>
      </c>
      <c r="H10" s="24" t="s">
        <v>15</v>
      </c>
      <c r="I10" s="25">
        <f>G4</f>
        <v>420</v>
      </c>
      <c r="J10" s="22"/>
      <c r="K10" s="26" t="s">
        <v>84</v>
      </c>
      <c r="M10" s="140" t="s">
        <v>85</v>
      </c>
      <c r="P10" s="18" t="s">
        <v>112</v>
      </c>
      <c r="Q10" s="20" t="s">
        <v>107</v>
      </c>
      <c r="U10"/>
      <c r="V10" s="227" t="s">
        <v>166</v>
      </c>
      <c r="W10">
        <v>492</v>
      </c>
      <c r="X10" s="94">
        <f t="shared" si="0"/>
        <v>55</v>
      </c>
      <c r="Y10" s="181">
        <f>(X10*100)/W12</f>
        <v>15.151515151515152</v>
      </c>
      <c r="Z10" s="229">
        <v>15</v>
      </c>
      <c r="AA10" s="184">
        <f t="shared" si="1"/>
        <v>0.15151515151515152</v>
      </c>
    </row>
    <row r="11" spans="4:27" ht="15" customHeight="1" thickBot="1" x14ac:dyDescent="0.4">
      <c r="D11" s="153" t="s">
        <v>119</v>
      </c>
      <c r="F11" s="14" t="s">
        <v>76</v>
      </c>
      <c r="G11" s="171">
        <v>0</v>
      </c>
      <c r="H11" s="29" t="s">
        <v>16</v>
      </c>
      <c r="I11" s="164">
        <f>I9+I10+G21</f>
        <v>9612</v>
      </c>
      <c r="J11" s="27"/>
      <c r="K11" s="211" t="s">
        <v>17</v>
      </c>
      <c r="L11" s="28"/>
      <c r="M11" s="186" t="s">
        <v>86</v>
      </c>
      <c r="P11" s="1" t="s">
        <v>155</v>
      </c>
      <c r="Q11" s="33" t="s">
        <v>156</v>
      </c>
      <c r="R11" s="33" t="s">
        <v>157</v>
      </c>
      <c r="T11" s="18"/>
      <c r="U11"/>
      <c r="V11" s="227" t="s">
        <v>167</v>
      </c>
      <c r="W11">
        <v>530</v>
      </c>
      <c r="X11" s="94">
        <f t="shared" si="0"/>
        <v>38</v>
      </c>
      <c r="Y11" s="181">
        <f>(X11*100)/W12</f>
        <v>10.46831955922865</v>
      </c>
      <c r="Z11" s="229">
        <v>8.4</v>
      </c>
      <c r="AA11" s="184">
        <f t="shared" si="1"/>
        <v>0.1046831955922865</v>
      </c>
    </row>
    <row r="12" spans="4:27" ht="15" customHeight="1" thickBot="1" x14ac:dyDescent="0.4">
      <c r="D12" s="178">
        <v>3000</v>
      </c>
      <c r="F12" s="14" t="s">
        <v>77</v>
      </c>
      <c r="G12" s="172">
        <v>0</v>
      </c>
      <c r="H12" s="167" t="s">
        <v>122</v>
      </c>
      <c r="I12" s="168">
        <f>SUM(G15:G20)</f>
        <v>3150</v>
      </c>
      <c r="J12" s="22"/>
      <c r="K12" s="30">
        <f>I15-I16</f>
        <v>691</v>
      </c>
      <c r="L12" s="31"/>
      <c r="M12" s="141" t="s">
        <v>58</v>
      </c>
      <c r="N12" s="32"/>
      <c r="O12" s="32"/>
      <c r="P12" s="18" t="s">
        <v>105</v>
      </c>
      <c r="Q12" s="20" t="s">
        <v>154</v>
      </c>
      <c r="R12" s="33" t="s">
        <v>158</v>
      </c>
      <c r="S12" s="246"/>
      <c r="T12" s="247"/>
      <c r="U12"/>
      <c r="V12" s="179" t="s">
        <v>135</v>
      </c>
      <c r="W12" s="227">
        <f>W11-W6</f>
        <v>363</v>
      </c>
      <c r="X12"/>
      <c r="Y12"/>
      <c r="Z12"/>
      <c r="AA12" s="184">
        <f t="shared" si="1"/>
        <v>0</v>
      </c>
    </row>
    <row r="13" spans="4:27" ht="15" customHeight="1" thickTop="1" thickBot="1" x14ac:dyDescent="0.4">
      <c r="D13" s="316" t="s">
        <v>141</v>
      </c>
      <c r="F13" s="14" t="s">
        <v>78</v>
      </c>
      <c r="G13" s="171">
        <v>0</v>
      </c>
      <c r="H13" s="165" t="s">
        <v>18</v>
      </c>
      <c r="I13" s="166">
        <f>I11+I12</f>
        <v>12762</v>
      </c>
      <c r="J13" s="35" t="str">
        <f>IF((I13)&lt;ZFW,"ZFW OK","BAD ZFW")</f>
        <v>ZFW OK</v>
      </c>
      <c r="K13" s="36" t="s">
        <v>123</v>
      </c>
      <c r="M13" s="142">
        <f>12500-Take_Off_Wt.</f>
        <v>-2809</v>
      </c>
      <c r="P13" s="18" t="s">
        <v>113</v>
      </c>
      <c r="Q13" s="33" t="s">
        <v>106</v>
      </c>
      <c r="S13" s="37"/>
      <c r="T13" s="38"/>
      <c r="U13"/>
      <c r="X13"/>
      <c r="Y13">
        <f>SUM(Y7:Y12)</f>
        <v>100</v>
      </c>
      <c r="Z13">
        <f>SUM(Z7:Z12)</f>
        <v>100</v>
      </c>
      <c r="AA13" s="184">
        <f t="shared" si="1"/>
        <v>1</v>
      </c>
    </row>
    <row r="14" spans="4:27" ht="15" customHeight="1" thickTop="1" x14ac:dyDescent="0.35">
      <c r="D14" s="317"/>
      <c r="F14" s="14" t="s">
        <v>79</v>
      </c>
      <c r="G14" s="171">
        <v>0</v>
      </c>
      <c r="H14" s="39" t="s">
        <v>19</v>
      </c>
      <c r="I14" s="21">
        <f>G22</f>
        <v>2500</v>
      </c>
      <c r="J14" s="22"/>
      <c r="L14" s="40"/>
      <c r="M14" s="139"/>
      <c r="S14" s="41"/>
      <c r="T14" s="38"/>
      <c r="V14" s="5"/>
      <c r="W14" s="180"/>
    </row>
    <row r="15" spans="4:27" ht="15" customHeight="1" thickBot="1" x14ac:dyDescent="0.4">
      <c r="D15" s="317"/>
      <c r="F15" s="14" t="s">
        <v>14</v>
      </c>
      <c r="G15" s="131">
        <v>150</v>
      </c>
      <c r="H15" s="42" t="s">
        <v>20</v>
      </c>
      <c r="I15" s="43">
        <f>Q6</f>
        <v>16000</v>
      </c>
      <c r="J15" s="44" t="s">
        <v>115</v>
      </c>
      <c r="K15" s="143"/>
      <c r="L15" s="45"/>
      <c r="M15" s="139"/>
      <c r="P15" s="256" t="s">
        <v>162</v>
      </c>
      <c r="Q15" s="257"/>
      <c r="S15" s="258"/>
      <c r="T15" s="259"/>
      <c r="U15" s="252"/>
      <c r="V15" s="247"/>
      <c r="W15" s="180"/>
    </row>
    <row r="16" spans="4:27" ht="15" customHeight="1" x14ac:dyDescent="0.35">
      <c r="D16" s="309" t="s">
        <v>70</v>
      </c>
      <c r="E16" s="310"/>
      <c r="F16" s="185" t="s">
        <v>130</v>
      </c>
      <c r="G16" s="173">
        <f>Even_Distb_Ld*AA7</f>
        <v>438.01652892561987</v>
      </c>
      <c r="H16" s="42" t="s">
        <v>22</v>
      </c>
      <c r="I16" s="47">
        <f>Q44</f>
        <v>15309</v>
      </c>
      <c r="J16" s="253" t="str">
        <f>IF(Take_Off_Wt.&lt;16000,"",I31)</f>
        <v/>
      </c>
      <c r="K16" s="254"/>
      <c r="L16" s="255"/>
      <c r="M16" s="213" t="s">
        <v>87</v>
      </c>
      <c r="P16" s="257"/>
      <c r="Q16" s="257"/>
      <c r="S16" s="259"/>
      <c r="T16" s="259"/>
      <c r="U16" s="247"/>
      <c r="V16" s="247"/>
      <c r="W16" s="180"/>
      <c r="X16" s="1" t="s">
        <v>179</v>
      </c>
    </row>
    <row r="17" spans="2:25" ht="15" customHeight="1" x14ac:dyDescent="0.35">
      <c r="D17" s="311"/>
      <c r="E17" s="310"/>
      <c r="F17" s="185" t="s">
        <v>131</v>
      </c>
      <c r="G17" s="173">
        <f>Even_Distb_Ld*AA8</f>
        <v>801.65289256198344</v>
      </c>
      <c r="H17" s="42" t="s">
        <v>24</v>
      </c>
      <c r="I17" s="48">
        <f>IF(I16&lt;5201,D45,C45)</f>
        <v>261.42</v>
      </c>
      <c r="J17" s="49">
        <v>-277</v>
      </c>
      <c r="K17" s="50"/>
      <c r="L17" s="50"/>
      <c r="M17" s="214" t="str">
        <f>S63</f>
        <v>FWD MOM OK</v>
      </c>
      <c r="P17" s="257"/>
      <c r="Q17" s="257"/>
      <c r="S17" s="41"/>
      <c r="T17" s="41"/>
      <c r="W17" s="18"/>
      <c r="X17" s="57" t="s">
        <v>180</v>
      </c>
      <c r="Y17" s="94"/>
    </row>
    <row r="18" spans="2:25" ht="15" customHeight="1" x14ac:dyDescent="0.35">
      <c r="D18" s="311"/>
      <c r="E18" s="310"/>
      <c r="F18" s="185" t="s">
        <v>132</v>
      </c>
      <c r="G18" s="173">
        <f>Even_Distb_Ld*AA9</f>
        <v>991.73553719008248</v>
      </c>
      <c r="H18" s="42" t="s">
        <v>26</v>
      </c>
      <c r="I18" s="299">
        <f>R44</f>
        <v>273.09650078898107</v>
      </c>
      <c r="J18" s="294"/>
      <c r="K18" s="51" t="str">
        <f>IF(Take_Off_C.G.&lt;277,D64,"Bad CG")</f>
        <v>OK CG</v>
      </c>
      <c r="L18" s="52"/>
      <c r="M18" s="214" t="str">
        <f>R62</f>
        <v>FWD WT OK</v>
      </c>
      <c r="P18" s="257"/>
      <c r="Q18" s="257"/>
      <c r="T18" s="53"/>
      <c r="V18" s="6"/>
      <c r="W18" s="180"/>
    </row>
    <row r="19" spans="2:25" ht="15" customHeight="1" x14ac:dyDescent="0.35">
      <c r="D19" s="311"/>
      <c r="E19" s="310"/>
      <c r="F19" s="185" t="s">
        <v>160</v>
      </c>
      <c r="G19" s="173">
        <f>Even_Distb_Ld*AA10</f>
        <v>454.54545454545456</v>
      </c>
      <c r="H19" s="54" t="s">
        <v>148</v>
      </c>
      <c r="I19" s="55" t="str">
        <f>IF(Take_Off_Wt.&gt;Max_Ld_Wt.,I28,"No Limit")</f>
        <v>No Limit</v>
      </c>
      <c r="J19" s="56" t="s">
        <v>27</v>
      </c>
      <c r="K19" s="9"/>
      <c r="M19" s="214" t="str">
        <f>S76</f>
        <v>AFT MOM OK</v>
      </c>
      <c r="P19" s="257"/>
      <c r="Q19" s="257"/>
      <c r="T19" s="57"/>
      <c r="V19" s="210"/>
      <c r="W19" s="2"/>
    </row>
    <row r="20" spans="2:25" ht="15" customHeight="1" x14ac:dyDescent="0.35">
      <c r="D20" s="222"/>
      <c r="E20" s="221"/>
      <c r="F20" s="185" t="s">
        <v>169</v>
      </c>
      <c r="G20" s="173">
        <f>Even_Distb_Ld*AA11</f>
        <v>314.04958677685948</v>
      </c>
      <c r="H20" s="54"/>
      <c r="I20" s="55"/>
      <c r="J20" s="225"/>
      <c r="M20" s="226"/>
      <c r="T20" s="57"/>
      <c r="V20" s="210"/>
      <c r="W20" s="2"/>
    </row>
    <row r="21" spans="2:25" ht="15" customHeight="1" thickBot="1" x14ac:dyDescent="0.35">
      <c r="D21" s="144"/>
      <c r="E21" s="58"/>
      <c r="F21" s="175" t="s">
        <v>125</v>
      </c>
      <c r="G21" s="131">
        <v>0</v>
      </c>
      <c r="H21" s="60" t="s">
        <v>28</v>
      </c>
      <c r="I21" s="61">
        <f>G22-((I5*J23)+(I4+45)*I22)</f>
        <v>8.75</v>
      </c>
      <c r="J21" s="62" t="s">
        <v>29</v>
      </c>
      <c r="K21" s="63" t="str">
        <f>IF(I21&gt;-1,"Fuel OK","More Fuel")</f>
        <v>Fuel OK</v>
      </c>
      <c r="L21" s="64"/>
      <c r="M21" s="215" t="str">
        <f>R75</f>
        <v>AFT WT OK</v>
      </c>
      <c r="P21" s="65" t="s">
        <v>33</v>
      </c>
      <c r="Q21" s="66" t="s">
        <v>34</v>
      </c>
      <c r="R21" s="66" t="s">
        <v>35</v>
      </c>
      <c r="S21" s="67" t="s">
        <v>36</v>
      </c>
      <c r="V21" s="2"/>
      <c r="W21" s="2"/>
    </row>
    <row r="22" spans="2:25" ht="15" customHeight="1" thickBot="1" x14ac:dyDescent="0.4">
      <c r="D22" s="145"/>
      <c r="E22" s="68"/>
      <c r="F22" s="19" t="s">
        <v>21</v>
      </c>
      <c r="G22" s="132">
        <v>2500</v>
      </c>
      <c r="H22" s="60" t="s">
        <v>30</v>
      </c>
      <c r="I22" s="134">
        <f>625/60</f>
        <v>10.416666666666666</v>
      </c>
      <c r="J22" s="69" t="s">
        <v>31</v>
      </c>
      <c r="K22" s="151">
        <f>(I5*J23)+(I4-(I5*25))*I22</f>
        <v>1501.6666666666665</v>
      </c>
      <c r="L22" s="285" t="s">
        <v>121</v>
      </c>
      <c r="M22" s="286"/>
      <c r="N22" s="70"/>
      <c r="O22" s="71"/>
      <c r="P22" s="72" t="s">
        <v>38</v>
      </c>
      <c r="Q22" s="73">
        <f>I9</f>
        <v>9192</v>
      </c>
      <c r="R22" s="74">
        <f>D44</f>
        <v>258.75</v>
      </c>
      <c r="S22" s="75">
        <f>Q22*R22</f>
        <v>2378430</v>
      </c>
    </row>
    <row r="23" spans="2:25" ht="15" customHeight="1" thickBot="1" x14ac:dyDescent="0.4">
      <c r="D23" s="146"/>
      <c r="E23" s="147"/>
      <c r="F23" s="148" t="s">
        <v>120</v>
      </c>
      <c r="G23" s="170">
        <f>G22/6.7</f>
        <v>373.13432835820896</v>
      </c>
      <c r="H23" s="147"/>
      <c r="I23" s="149" t="s">
        <v>32</v>
      </c>
      <c r="J23" s="150">
        <v>230</v>
      </c>
      <c r="K23" s="135"/>
      <c r="L23" s="152"/>
      <c r="M23" s="152"/>
      <c r="N23" s="76"/>
      <c r="O23" s="77"/>
      <c r="P23" s="72" t="s">
        <v>0</v>
      </c>
      <c r="Q23" s="73">
        <f t="shared" ref="Q23:Q39" si="2">G4</f>
        <v>420</v>
      </c>
      <c r="R23" s="78">
        <v>111</v>
      </c>
      <c r="S23" s="75">
        <f t="shared" ref="S23:S43" si="3">Q23*R23</f>
        <v>46620</v>
      </c>
    </row>
    <row r="24" spans="2:25" ht="15" customHeight="1" x14ac:dyDescent="0.3">
      <c r="F24" s="32" t="s">
        <v>25</v>
      </c>
      <c r="G24" s="187" t="s">
        <v>142</v>
      </c>
      <c r="H24" s="188"/>
      <c r="I24" s="188"/>
      <c r="J24" s="188"/>
      <c r="K24" s="188"/>
      <c r="L24" s="188"/>
      <c r="P24" s="72" t="s">
        <v>67</v>
      </c>
      <c r="Q24" s="73">
        <f t="shared" si="2"/>
        <v>0</v>
      </c>
      <c r="R24" s="78">
        <v>148</v>
      </c>
      <c r="S24" s="75">
        <f t="shared" si="3"/>
        <v>0</v>
      </c>
    </row>
    <row r="25" spans="2:25" ht="15.75" thickBot="1" x14ac:dyDescent="0.35">
      <c r="G25" s="81"/>
      <c r="P25" s="72" t="s">
        <v>7</v>
      </c>
      <c r="Q25" s="73">
        <f t="shared" si="2"/>
        <v>0</v>
      </c>
      <c r="R25" s="78">
        <v>178</v>
      </c>
      <c r="S25" s="75">
        <f t="shared" si="3"/>
        <v>0</v>
      </c>
      <c r="U25" s="3"/>
      <c r="V25" s="4"/>
    </row>
    <row r="26" spans="2:25" ht="18" thickTop="1" thickBot="1" x14ac:dyDescent="0.4">
      <c r="B26" s="239" t="s">
        <v>174</v>
      </c>
      <c r="C26" s="240"/>
      <c r="D26" s="240"/>
      <c r="E26" s="302" t="s">
        <v>177</v>
      </c>
      <c r="F26" s="303"/>
      <c r="G26" s="304"/>
      <c r="P26" s="72" t="s">
        <v>10</v>
      </c>
      <c r="Q26" s="73">
        <f t="shared" si="2"/>
        <v>0</v>
      </c>
      <c r="R26" s="78">
        <v>207</v>
      </c>
      <c r="S26" s="75">
        <f t="shared" si="3"/>
        <v>0</v>
      </c>
      <c r="U26" s="3"/>
      <c r="V26" s="4"/>
    </row>
    <row r="27" spans="2:25" ht="17.25" thickTop="1" x14ac:dyDescent="0.35">
      <c r="B27" s="305" t="s">
        <v>176</v>
      </c>
      <c r="C27" s="306"/>
      <c r="D27" s="306"/>
      <c r="E27" s="306"/>
      <c r="F27" s="306"/>
      <c r="G27" s="307"/>
      <c r="I27" s="300" t="s">
        <v>37</v>
      </c>
      <c r="J27" s="301"/>
      <c r="M27" s="57"/>
      <c r="P27" s="72" t="s">
        <v>12</v>
      </c>
      <c r="Q27" s="73">
        <f t="shared" si="2"/>
        <v>0</v>
      </c>
      <c r="R27" s="78">
        <v>236</v>
      </c>
      <c r="S27" s="75">
        <f t="shared" si="3"/>
        <v>0</v>
      </c>
      <c r="U27" s="3"/>
      <c r="V27" s="4"/>
    </row>
    <row r="28" spans="2:25" ht="15" customHeight="1" thickBot="1" x14ac:dyDescent="0.4">
      <c r="B28" s="189" t="s">
        <v>143</v>
      </c>
      <c r="C28" s="241" t="s">
        <v>144</v>
      </c>
      <c r="D28" s="241" t="s">
        <v>59</v>
      </c>
      <c r="E28" s="190" t="s">
        <v>145</v>
      </c>
      <c r="G28" s="242"/>
      <c r="I28" s="266">
        <f>((Take_Off_Wt.-Max_Ld_Wt.)/I22)</f>
        <v>-18.336000000000002</v>
      </c>
      <c r="J28" s="267"/>
      <c r="P28" s="72" t="s">
        <v>61</v>
      </c>
      <c r="Q28" s="73">
        <f t="shared" si="2"/>
        <v>0</v>
      </c>
      <c r="R28" s="78">
        <v>266</v>
      </c>
      <c r="S28" s="75">
        <f t="shared" si="3"/>
        <v>0</v>
      </c>
      <c r="U28" s="3"/>
      <c r="V28" s="4"/>
    </row>
    <row r="29" spans="2:25" ht="15" customHeight="1" thickBot="1" x14ac:dyDescent="0.35">
      <c r="B29" s="191">
        <v>1</v>
      </c>
      <c r="C29" s="236">
        <v>9192</v>
      </c>
      <c r="D29" s="192">
        <v>258.75</v>
      </c>
      <c r="E29" s="295" t="s">
        <v>100</v>
      </c>
      <c r="F29" s="296"/>
      <c r="G29" s="297"/>
      <c r="H29" s="176">
        <f>SUM(G16:G19)</f>
        <v>2685.9504132231405</v>
      </c>
      <c r="P29" s="72" t="s">
        <v>62</v>
      </c>
      <c r="Q29" s="73">
        <f t="shared" si="2"/>
        <v>0</v>
      </c>
      <c r="R29" s="78">
        <v>297</v>
      </c>
      <c r="S29" s="75">
        <f t="shared" si="3"/>
        <v>0</v>
      </c>
      <c r="U29" s="3"/>
      <c r="V29" s="4"/>
    </row>
    <row r="30" spans="2:25" ht="15" customHeight="1" x14ac:dyDescent="0.35">
      <c r="B30" s="193">
        <v>2</v>
      </c>
      <c r="C30" s="237">
        <v>9207</v>
      </c>
      <c r="D30" s="194">
        <v>258.56</v>
      </c>
      <c r="E30" s="298" t="s">
        <v>146</v>
      </c>
      <c r="F30" s="261"/>
      <c r="G30" s="262"/>
      <c r="I30" s="268" t="s">
        <v>116</v>
      </c>
      <c r="J30" s="269"/>
      <c r="P30" s="72" t="s">
        <v>63</v>
      </c>
      <c r="Q30" s="73">
        <f t="shared" si="2"/>
        <v>0</v>
      </c>
      <c r="R30" s="78">
        <v>328</v>
      </c>
      <c r="S30" s="75">
        <f t="shared" si="3"/>
        <v>0</v>
      </c>
      <c r="U30" s="3"/>
      <c r="V30" s="4"/>
    </row>
    <row r="31" spans="2:25" ht="15" customHeight="1" x14ac:dyDescent="0.3">
      <c r="B31" s="195">
        <v>3</v>
      </c>
      <c r="C31" s="238">
        <v>9147</v>
      </c>
      <c r="D31" s="196">
        <v>258.17962173390185</v>
      </c>
      <c r="E31" s="260" t="s">
        <v>175</v>
      </c>
      <c r="F31" s="261"/>
      <c r="G31" s="262"/>
      <c r="I31" s="270" t="str">
        <f>IF(Take_Off_Wt.&lt;16100,I33,"OVER GROSS WT!")</f>
        <v>!! BURN TAXI FUEL !!</v>
      </c>
      <c r="J31" s="271"/>
      <c r="K31" s="5" t="s">
        <v>117</v>
      </c>
      <c r="O31" s="314" t="s">
        <v>126</v>
      </c>
      <c r="P31" s="72" t="s">
        <v>64</v>
      </c>
      <c r="Q31" s="73">
        <f t="shared" si="2"/>
        <v>0</v>
      </c>
      <c r="R31" s="78">
        <v>359</v>
      </c>
      <c r="S31" s="75">
        <f t="shared" si="3"/>
        <v>0</v>
      </c>
      <c r="U31" s="3"/>
      <c r="V31" s="4"/>
    </row>
    <row r="32" spans="2:25" ht="15" customHeight="1" x14ac:dyDescent="0.3">
      <c r="B32" s="195">
        <v>4</v>
      </c>
      <c r="C32" s="238">
        <v>9246</v>
      </c>
      <c r="D32" s="196">
        <v>258.48691325978803</v>
      </c>
      <c r="E32" s="260" t="s">
        <v>124</v>
      </c>
      <c r="F32" s="261"/>
      <c r="G32" s="262"/>
      <c r="I32" s="272">
        <f>16100-Take_Off_Wt.</f>
        <v>791</v>
      </c>
      <c r="J32" s="273"/>
      <c r="O32" s="315"/>
      <c r="P32" s="72" t="s">
        <v>65</v>
      </c>
      <c r="Q32" s="73">
        <f t="shared" si="2"/>
        <v>0</v>
      </c>
      <c r="R32" s="78">
        <v>389</v>
      </c>
      <c r="S32" s="75">
        <f t="shared" si="3"/>
        <v>0</v>
      </c>
      <c r="U32" s="3"/>
      <c r="V32" s="4"/>
    </row>
    <row r="33" spans="2:22" ht="15" customHeight="1" thickBot="1" x14ac:dyDescent="0.35">
      <c r="B33" s="195">
        <v>5</v>
      </c>
      <c r="C33" s="238">
        <v>9308</v>
      </c>
      <c r="D33" s="196">
        <v>258.64020197679417</v>
      </c>
      <c r="E33" s="260" t="s">
        <v>101</v>
      </c>
      <c r="F33" s="261"/>
      <c r="G33" s="262"/>
      <c r="I33" s="274" t="s">
        <v>118</v>
      </c>
      <c r="J33" s="275"/>
      <c r="O33" s="315"/>
      <c r="P33" s="72" t="s">
        <v>66</v>
      </c>
      <c r="Q33" s="73">
        <f t="shared" si="2"/>
        <v>0</v>
      </c>
      <c r="R33" s="228">
        <v>419</v>
      </c>
      <c r="S33" s="75">
        <f t="shared" si="3"/>
        <v>0</v>
      </c>
      <c r="U33" s="3"/>
      <c r="V33" s="4"/>
    </row>
    <row r="34" spans="2:22" ht="15" customHeight="1" x14ac:dyDescent="0.3">
      <c r="B34" s="195">
        <v>6</v>
      </c>
      <c r="C34" s="238">
        <v>9339</v>
      </c>
      <c r="D34" s="196">
        <v>258.98929221544063</v>
      </c>
      <c r="E34" s="260" t="s">
        <v>102</v>
      </c>
      <c r="F34" s="261"/>
      <c r="G34" s="262"/>
      <c r="O34" s="315"/>
      <c r="P34" s="72" t="s">
        <v>45</v>
      </c>
      <c r="Q34" s="73">
        <f t="shared" si="2"/>
        <v>150</v>
      </c>
      <c r="R34" s="78">
        <v>42</v>
      </c>
      <c r="S34" s="75">
        <f t="shared" si="3"/>
        <v>6300</v>
      </c>
      <c r="U34" s="3"/>
      <c r="V34" s="4"/>
    </row>
    <row r="35" spans="2:22" ht="15" customHeight="1" x14ac:dyDescent="0.3">
      <c r="B35" s="195">
        <v>7</v>
      </c>
      <c r="C35" s="238">
        <v>9370</v>
      </c>
      <c r="D35" s="196">
        <v>259.14087513340451</v>
      </c>
      <c r="E35" s="260" t="s">
        <v>103</v>
      </c>
      <c r="F35" s="261"/>
      <c r="G35" s="262"/>
      <c r="O35" s="177" t="s">
        <v>127</v>
      </c>
      <c r="P35" s="72" t="s">
        <v>46</v>
      </c>
      <c r="Q35" s="73">
        <f t="shared" si="2"/>
        <v>438.01652892561987</v>
      </c>
      <c r="R35" s="78">
        <v>193</v>
      </c>
      <c r="S35" s="75">
        <f t="shared" si="3"/>
        <v>84537.190082644636</v>
      </c>
      <c r="U35" s="3"/>
      <c r="V35" s="4"/>
    </row>
    <row r="36" spans="2:22" ht="14.1" customHeight="1" thickBot="1" x14ac:dyDescent="0.35">
      <c r="B36" s="243">
        <v>8</v>
      </c>
      <c r="C36" s="244">
        <v>9401</v>
      </c>
      <c r="D36" s="245">
        <v>259.29145835549411</v>
      </c>
      <c r="E36" s="287" t="s">
        <v>104</v>
      </c>
      <c r="F36" s="288"/>
      <c r="G36" s="289"/>
      <c r="H36" s="82"/>
      <c r="I36" s="57"/>
      <c r="O36" s="177" t="s">
        <v>137</v>
      </c>
      <c r="P36" s="72" t="s">
        <v>128</v>
      </c>
      <c r="Q36" s="73">
        <f t="shared" si="2"/>
        <v>801.65289256198344</v>
      </c>
      <c r="R36" s="78">
        <v>265</v>
      </c>
      <c r="S36" s="75">
        <f t="shared" si="3"/>
        <v>212438.0165289256</v>
      </c>
      <c r="U36" s="3"/>
      <c r="V36" s="3"/>
    </row>
    <row r="37" spans="2:22" ht="14.1" customHeight="1" thickTop="1" x14ac:dyDescent="0.3">
      <c r="B37" s="203"/>
      <c r="C37" s="206"/>
      <c r="D37" s="207"/>
      <c r="E37" s="204"/>
      <c r="F37" s="205"/>
      <c r="G37" s="204"/>
      <c r="O37" s="177" t="s">
        <v>138</v>
      </c>
      <c r="P37" s="72" t="s">
        <v>129</v>
      </c>
      <c r="Q37" s="73">
        <f t="shared" si="2"/>
        <v>991.73553719008248</v>
      </c>
      <c r="R37" s="78">
        <v>370</v>
      </c>
      <c r="S37" s="75">
        <f t="shared" si="3"/>
        <v>366942.14876033051</v>
      </c>
      <c r="U37" s="4"/>
      <c r="V37" s="3"/>
    </row>
    <row r="38" spans="2:22" ht="14.1" customHeight="1" x14ac:dyDescent="0.3">
      <c r="B38" s="197"/>
      <c r="C38" s="198"/>
      <c r="D38" s="199"/>
      <c r="E38" s="200"/>
      <c r="F38" s="201"/>
      <c r="G38" s="202"/>
      <c r="O38" s="177" t="s">
        <v>139</v>
      </c>
      <c r="P38" s="72" t="s">
        <v>170</v>
      </c>
      <c r="Q38" s="73">
        <f t="shared" si="2"/>
        <v>454.54545454545456</v>
      </c>
      <c r="R38" s="78">
        <v>465</v>
      </c>
      <c r="S38" s="75">
        <f t="shared" ref="S38:S39" si="4">Q38*R38</f>
        <v>211363.63636363638</v>
      </c>
      <c r="U38" s="4"/>
      <c r="V38" s="3"/>
    </row>
    <row r="39" spans="2:22" ht="14.1" customHeight="1" x14ac:dyDescent="0.3">
      <c r="P39" s="72" t="s">
        <v>171</v>
      </c>
      <c r="Q39" s="73">
        <f t="shared" si="2"/>
        <v>314.04958677685948</v>
      </c>
      <c r="R39" s="78">
        <v>511</v>
      </c>
      <c r="S39" s="75">
        <f t="shared" si="4"/>
        <v>160479.33884297521</v>
      </c>
      <c r="U39" s="4"/>
      <c r="V39" s="3"/>
    </row>
    <row r="40" spans="2:22" ht="14.1" customHeight="1" x14ac:dyDescent="0.3">
      <c r="P40" s="72" t="s">
        <v>81</v>
      </c>
      <c r="Q40" s="73">
        <f>IF(D9="Nose",47,0)</f>
        <v>47</v>
      </c>
      <c r="R40" s="83">
        <v>42</v>
      </c>
      <c r="S40" s="75">
        <f t="shared" si="3"/>
        <v>1974</v>
      </c>
      <c r="U40" s="4"/>
      <c r="V40" s="3"/>
    </row>
    <row r="41" spans="2:22" ht="14.1" customHeight="1" x14ac:dyDescent="0.3">
      <c r="P41" s="72" t="s">
        <v>82</v>
      </c>
      <c r="Q41" s="73">
        <f>IF(D9="Nose",0,47)</f>
        <v>0</v>
      </c>
      <c r="R41" s="83">
        <v>525</v>
      </c>
      <c r="S41" s="75">
        <f t="shared" si="3"/>
        <v>0</v>
      </c>
      <c r="T41" s="84"/>
      <c r="U41" s="4"/>
    </row>
    <row r="42" spans="2:22" ht="14.1" customHeight="1" x14ac:dyDescent="0.3">
      <c r="P42" s="72" t="s">
        <v>49</v>
      </c>
      <c r="Q42" s="73">
        <f>G21</f>
        <v>0</v>
      </c>
      <c r="R42" s="78">
        <v>21</v>
      </c>
      <c r="S42" s="75">
        <f t="shared" si="3"/>
        <v>0</v>
      </c>
      <c r="U42" s="4"/>
      <c r="V42" s="4"/>
    </row>
    <row r="43" spans="2:22" ht="14.1" customHeight="1" x14ac:dyDescent="0.3">
      <c r="C43" s="60" t="s">
        <v>39</v>
      </c>
      <c r="D43" s="20">
        <f>I9</f>
        <v>9192</v>
      </c>
      <c r="P43" s="72" t="s">
        <v>50</v>
      </c>
      <c r="Q43" s="73">
        <f>G22</f>
        <v>2500</v>
      </c>
      <c r="R43" s="78">
        <f>VLOOKUP(G22,L55:O97,4)</f>
        <v>284.70000000000005</v>
      </c>
      <c r="S43" s="75">
        <f t="shared" si="3"/>
        <v>711750.00000000012</v>
      </c>
    </row>
    <row r="44" spans="2:22" ht="14.1" customHeight="1" x14ac:dyDescent="0.35">
      <c r="C44" s="60" t="s">
        <v>41</v>
      </c>
      <c r="D44" s="86">
        <f>VLOOKUP(I8,B29:D38,3,TRUE)</f>
        <v>258.75</v>
      </c>
      <c r="P44" s="87" t="s">
        <v>51</v>
      </c>
      <c r="Q44" s="88">
        <f>SUM(Q22:Q43)</f>
        <v>15309</v>
      </c>
      <c r="R44" s="89">
        <f>Loaded_Monent/Q44</f>
        <v>273.09650078898107</v>
      </c>
      <c r="S44" s="90">
        <f>SUM(S22:S43)</f>
        <v>4180834.3305785116</v>
      </c>
      <c r="T44" s="85" t="s">
        <v>52</v>
      </c>
    </row>
    <row r="45" spans="2:22" ht="14.1" customHeight="1" x14ac:dyDescent="0.3">
      <c r="C45" s="2">
        <f t="shared" ref="C45:C76" si="5">IF(Take_Off_Wt.&lt;F47,G47,C46)</f>
        <v>261.42</v>
      </c>
      <c r="D45" s="2"/>
      <c r="F45" s="91" t="s">
        <v>40</v>
      </c>
      <c r="G45" s="91"/>
      <c r="H45" s="91"/>
    </row>
    <row r="46" spans="2:22" ht="14.1" customHeight="1" thickBot="1" x14ac:dyDescent="0.4">
      <c r="C46" s="2">
        <f t="shared" si="5"/>
        <v>261.42</v>
      </c>
      <c r="D46" s="2"/>
      <c r="F46" s="92" t="s">
        <v>42</v>
      </c>
      <c r="G46" s="92" t="s">
        <v>43</v>
      </c>
      <c r="H46" s="92" t="s">
        <v>44</v>
      </c>
      <c r="R46" s="93" t="s">
        <v>80</v>
      </c>
      <c r="S46" s="94"/>
    </row>
    <row r="47" spans="2:22" ht="14.1" customHeight="1" thickTop="1" thickBot="1" x14ac:dyDescent="0.4">
      <c r="C47" s="2">
        <f t="shared" si="5"/>
        <v>261.42</v>
      </c>
      <c r="D47" s="2"/>
      <c r="F47" s="95">
        <v>11000</v>
      </c>
      <c r="G47" s="96">
        <v>257</v>
      </c>
      <c r="H47" s="97">
        <v>277</v>
      </c>
      <c r="Q47" s="263" t="s">
        <v>96</v>
      </c>
      <c r="R47" s="276"/>
      <c r="S47" s="277"/>
    </row>
    <row r="48" spans="2:22" ht="14.1" customHeight="1" thickTop="1" x14ac:dyDescent="0.35">
      <c r="C48" s="2">
        <f t="shared" si="5"/>
        <v>261.42</v>
      </c>
      <c r="D48" s="2"/>
      <c r="F48" s="98">
        <v>11100</v>
      </c>
      <c r="G48" s="99">
        <v>257.10000000000002</v>
      </c>
      <c r="H48" s="100">
        <v>277</v>
      </c>
      <c r="P48" s="40" t="s">
        <v>88</v>
      </c>
      <c r="Q48" s="101" t="s">
        <v>89</v>
      </c>
      <c r="R48" s="101" t="s">
        <v>34</v>
      </c>
      <c r="S48" s="101" t="s">
        <v>90</v>
      </c>
    </row>
    <row r="49" spans="3:19" ht="14.1" customHeight="1" x14ac:dyDescent="0.3">
      <c r="C49" s="2">
        <f t="shared" si="5"/>
        <v>261.42</v>
      </c>
      <c r="D49" s="2"/>
      <c r="F49" s="98">
        <v>11200</v>
      </c>
      <c r="G49" s="99">
        <v>257.2</v>
      </c>
      <c r="H49" s="100">
        <v>277</v>
      </c>
      <c r="P49" s="18" t="s">
        <v>49</v>
      </c>
      <c r="Q49" s="102">
        <f>R42</f>
        <v>21</v>
      </c>
      <c r="R49" s="102">
        <f>Q42</f>
        <v>0</v>
      </c>
      <c r="S49" s="102">
        <f>(((Q49-274)*(R49))/1000)*-1</f>
        <v>0</v>
      </c>
    </row>
    <row r="50" spans="3:19" ht="14.1" customHeight="1" x14ac:dyDescent="0.3">
      <c r="C50" s="2">
        <f t="shared" si="5"/>
        <v>261.42</v>
      </c>
      <c r="D50" s="2"/>
      <c r="F50" s="98">
        <v>11300</v>
      </c>
      <c r="G50" s="99">
        <v>257.3</v>
      </c>
      <c r="H50" s="100">
        <v>277</v>
      </c>
      <c r="L50" s="102"/>
      <c r="P50" s="18" t="s">
        <v>6</v>
      </c>
      <c r="Q50" s="2">
        <v>42</v>
      </c>
      <c r="R50" s="102">
        <f>Q40</f>
        <v>47</v>
      </c>
      <c r="S50" s="102">
        <f t="shared" ref="S50" si="6">(((Q50-274)*(R50))/1000)*-1</f>
        <v>10.904</v>
      </c>
    </row>
    <row r="51" spans="3:19" ht="14.1" customHeight="1" x14ac:dyDescent="0.3">
      <c r="C51" s="2">
        <f t="shared" si="5"/>
        <v>261.42</v>
      </c>
      <c r="D51" s="2"/>
      <c r="F51" s="98">
        <v>11400</v>
      </c>
      <c r="G51" s="99">
        <v>257.39999999999998</v>
      </c>
      <c r="H51" s="100">
        <v>277</v>
      </c>
      <c r="P51" s="18" t="s">
        <v>91</v>
      </c>
      <c r="Q51" s="2">
        <f>R34</f>
        <v>42</v>
      </c>
      <c r="R51" s="102">
        <f>Q34</f>
        <v>150</v>
      </c>
      <c r="S51" s="102">
        <f t="shared" ref="S51:S59" si="7">(((Q51-274)*(R51))/1000)*-1</f>
        <v>34.799999999999997</v>
      </c>
    </row>
    <row r="52" spans="3:19" ht="14.1" customHeight="1" x14ac:dyDescent="0.3">
      <c r="C52" s="2">
        <f t="shared" si="5"/>
        <v>261.42</v>
      </c>
      <c r="D52" s="2"/>
      <c r="F52" s="98">
        <v>11500</v>
      </c>
      <c r="G52" s="99">
        <v>257.5</v>
      </c>
      <c r="H52" s="100">
        <v>277</v>
      </c>
      <c r="L52" s="103" t="s">
        <v>53</v>
      </c>
      <c r="M52" s="104" t="str">
        <f>IF(I16&gt;14600,"Over Gross","Burn Taxi Fuel")</f>
        <v>Over Gross</v>
      </c>
      <c r="N52" s="104"/>
      <c r="O52" s="104"/>
      <c r="P52" s="18" t="s">
        <v>0</v>
      </c>
      <c r="Q52" s="102">
        <f t="shared" ref="Q52:Q57" si="8">R23</f>
        <v>111</v>
      </c>
      <c r="R52" s="102">
        <f t="shared" ref="R52:R57" si="9">Q23</f>
        <v>420</v>
      </c>
      <c r="S52" s="102">
        <f t="shared" si="7"/>
        <v>68.459999999999994</v>
      </c>
    </row>
    <row r="53" spans="3:19" ht="14.1" customHeight="1" x14ac:dyDescent="0.3">
      <c r="C53" s="2">
        <f t="shared" si="5"/>
        <v>261.42</v>
      </c>
      <c r="D53" s="2"/>
      <c r="F53" s="98">
        <v>11600</v>
      </c>
      <c r="G53" s="99">
        <v>257.60000000000002</v>
      </c>
      <c r="H53" s="100">
        <v>277</v>
      </c>
      <c r="M53" s="278" t="s">
        <v>55</v>
      </c>
      <c r="O53" s="280" t="s">
        <v>54</v>
      </c>
      <c r="P53" s="18" t="s">
        <v>4</v>
      </c>
      <c r="Q53" s="102">
        <f t="shared" si="8"/>
        <v>148</v>
      </c>
      <c r="R53" s="102">
        <f t="shared" si="9"/>
        <v>0</v>
      </c>
      <c r="S53" s="102">
        <f t="shared" si="7"/>
        <v>0</v>
      </c>
    </row>
    <row r="54" spans="3:19" ht="14.1" customHeight="1" x14ac:dyDescent="0.3">
      <c r="C54" s="2">
        <f t="shared" si="5"/>
        <v>261.42</v>
      </c>
      <c r="D54" s="2"/>
      <c r="F54" s="98">
        <v>11700</v>
      </c>
      <c r="G54" s="99">
        <v>257.7</v>
      </c>
      <c r="H54" s="100">
        <v>277</v>
      </c>
      <c r="K54" s="105"/>
      <c r="L54" s="106" t="s">
        <v>29</v>
      </c>
      <c r="M54" s="279"/>
      <c r="N54" s="107"/>
      <c r="O54" s="279"/>
      <c r="P54" s="18" t="s">
        <v>7</v>
      </c>
      <c r="Q54" s="2">
        <f t="shared" si="8"/>
        <v>178</v>
      </c>
      <c r="R54" s="102">
        <f t="shared" si="9"/>
        <v>0</v>
      </c>
      <c r="S54" s="102">
        <f t="shared" si="7"/>
        <v>0</v>
      </c>
    </row>
    <row r="55" spans="3:19" ht="14.1" customHeight="1" x14ac:dyDescent="0.3">
      <c r="C55" s="2">
        <f t="shared" si="5"/>
        <v>261.42</v>
      </c>
      <c r="D55" s="2"/>
      <c r="F55" s="98">
        <v>11800</v>
      </c>
      <c r="G55" s="99">
        <v>257.8</v>
      </c>
      <c r="H55" s="100">
        <v>277</v>
      </c>
      <c r="K55" s="108"/>
      <c r="L55" s="109">
        <v>100</v>
      </c>
      <c r="M55" s="110">
        <f t="shared" ref="M55:M97" si="10">L55/6.7</f>
        <v>14.925373134328359</v>
      </c>
      <c r="N55" s="110"/>
      <c r="O55" s="111">
        <v>293.90000000000003</v>
      </c>
      <c r="P55" s="18" t="s">
        <v>10</v>
      </c>
      <c r="Q55" s="2">
        <f t="shared" si="8"/>
        <v>207</v>
      </c>
      <c r="R55" s="102">
        <f t="shared" si="9"/>
        <v>0</v>
      </c>
      <c r="S55" s="102">
        <f t="shared" si="7"/>
        <v>0</v>
      </c>
    </row>
    <row r="56" spans="3:19" ht="14.1" customHeight="1" x14ac:dyDescent="0.3">
      <c r="C56" s="2">
        <f t="shared" si="5"/>
        <v>261.42</v>
      </c>
      <c r="D56" s="2"/>
      <c r="F56" s="98">
        <v>11900</v>
      </c>
      <c r="G56" s="99">
        <v>257.89999999999998</v>
      </c>
      <c r="H56" s="100">
        <v>277</v>
      </c>
      <c r="K56" s="108"/>
      <c r="L56" s="112">
        <v>200</v>
      </c>
      <c r="M56" s="113">
        <f t="shared" si="10"/>
        <v>29.850746268656717</v>
      </c>
      <c r="N56" s="110"/>
      <c r="O56" s="114">
        <v>293.60000000000002</v>
      </c>
      <c r="P56" s="18" t="s">
        <v>12</v>
      </c>
      <c r="Q56" s="2">
        <f t="shared" si="8"/>
        <v>236</v>
      </c>
      <c r="R56" s="102">
        <f t="shared" si="9"/>
        <v>0</v>
      </c>
      <c r="S56" s="102">
        <f t="shared" si="7"/>
        <v>0</v>
      </c>
    </row>
    <row r="57" spans="3:19" ht="14.1" customHeight="1" x14ac:dyDescent="0.3">
      <c r="C57" s="2">
        <f t="shared" si="5"/>
        <v>261.42</v>
      </c>
      <c r="D57" s="2"/>
      <c r="F57" s="98">
        <v>12000</v>
      </c>
      <c r="G57" s="99">
        <v>258</v>
      </c>
      <c r="H57" s="100">
        <v>277</v>
      </c>
      <c r="K57" s="108"/>
      <c r="L57" s="112">
        <v>300</v>
      </c>
      <c r="M57" s="113">
        <f t="shared" si="10"/>
        <v>44.776119402985074</v>
      </c>
      <c r="N57" s="113"/>
      <c r="O57" s="114">
        <v>293.3</v>
      </c>
      <c r="P57" s="18" t="s">
        <v>61</v>
      </c>
      <c r="Q57" s="2">
        <f t="shared" si="8"/>
        <v>266</v>
      </c>
      <c r="R57" s="102">
        <f t="shared" si="9"/>
        <v>0</v>
      </c>
      <c r="S57" s="102">
        <f t="shared" si="7"/>
        <v>0</v>
      </c>
    </row>
    <row r="58" spans="3:19" ht="14.1" customHeight="1" x14ac:dyDescent="0.3">
      <c r="C58" s="2">
        <f t="shared" si="5"/>
        <v>261.42</v>
      </c>
      <c r="D58" s="2"/>
      <c r="F58" s="98">
        <v>12100</v>
      </c>
      <c r="G58" s="99">
        <v>258.10000000000002</v>
      </c>
      <c r="H58" s="100">
        <v>277</v>
      </c>
      <c r="K58" s="108"/>
      <c r="L58" s="112">
        <v>400</v>
      </c>
      <c r="M58" s="113">
        <f t="shared" si="10"/>
        <v>59.701492537313435</v>
      </c>
      <c r="N58" s="113"/>
      <c r="O58" s="114">
        <v>293</v>
      </c>
      <c r="P58" s="18" t="s">
        <v>92</v>
      </c>
      <c r="Q58" s="2">
        <f>R35</f>
        <v>193</v>
      </c>
      <c r="R58" s="102">
        <f>Q35</f>
        <v>438.01652892561987</v>
      </c>
      <c r="S58" s="102">
        <f t="shared" si="7"/>
        <v>35.47933884297521</v>
      </c>
    </row>
    <row r="59" spans="3:19" ht="14.1" customHeight="1" thickBot="1" x14ac:dyDescent="0.35">
      <c r="C59" s="2">
        <f t="shared" si="5"/>
        <v>261.42</v>
      </c>
      <c r="D59" s="2"/>
      <c r="F59" s="98">
        <v>12200</v>
      </c>
      <c r="G59" s="99">
        <v>258.2</v>
      </c>
      <c r="H59" s="100">
        <v>277</v>
      </c>
      <c r="K59" s="108"/>
      <c r="L59" s="112">
        <v>500</v>
      </c>
      <c r="M59" s="113">
        <f t="shared" si="10"/>
        <v>74.626865671641795</v>
      </c>
      <c r="N59" s="113"/>
      <c r="O59" s="114">
        <f>AVERAGE(O58,O60)</f>
        <v>292.64999999999998</v>
      </c>
      <c r="P59" s="18" t="s">
        <v>93</v>
      </c>
      <c r="Q59" s="115">
        <f>R36</f>
        <v>265</v>
      </c>
      <c r="R59" s="116">
        <f>Q36</f>
        <v>801.65289256198344</v>
      </c>
      <c r="S59" s="116">
        <f t="shared" si="7"/>
        <v>7.214876033057851</v>
      </c>
    </row>
    <row r="60" spans="3:19" ht="14.1" customHeight="1" thickTop="1" x14ac:dyDescent="0.35">
      <c r="C60" s="2">
        <f t="shared" si="5"/>
        <v>261.42</v>
      </c>
      <c r="D60" s="2"/>
      <c r="F60" s="98">
        <v>12300</v>
      </c>
      <c r="G60" s="99">
        <v>258.3</v>
      </c>
      <c r="H60" s="100">
        <v>277</v>
      </c>
      <c r="K60" s="108"/>
      <c r="L60" s="112">
        <v>600</v>
      </c>
      <c r="M60" s="113">
        <f t="shared" si="10"/>
        <v>89.552238805970148</v>
      </c>
      <c r="N60" s="113"/>
      <c r="O60" s="114">
        <v>292.3</v>
      </c>
      <c r="P60" s="18"/>
      <c r="Q60" s="1" t="s">
        <v>94</v>
      </c>
      <c r="R60" s="117">
        <f>SUM(R49:R59)</f>
        <v>1856.6694214876034</v>
      </c>
      <c r="S60" s="118">
        <f>SUM(S49:S59)</f>
        <v>156.85821487603306</v>
      </c>
    </row>
    <row r="61" spans="3:19" ht="14.1" customHeight="1" thickBot="1" x14ac:dyDescent="0.4">
      <c r="C61" s="2">
        <f t="shared" si="5"/>
        <v>261.42</v>
      </c>
      <c r="D61" s="2"/>
      <c r="F61" s="98">
        <v>12400</v>
      </c>
      <c r="G61" s="99">
        <v>258.39999999999998</v>
      </c>
      <c r="H61" s="100">
        <v>277</v>
      </c>
      <c r="K61" s="108"/>
      <c r="L61" s="112">
        <v>700</v>
      </c>
      <c r="M61" s="113">
        <f t="shared" si="10"/>
        <v>104.4776119402985</v>
      </c>
      <c r="N61" s="113"/>
      <c r="O61" s="114">
        <f>AVERAGE(O60,O62)</f>
        <v>291.85000000000002</v>
      </c>
      <c r="P61" s="18"/>
      <c r="Q61" s="1" t="s">
        <v>95</v>
      </c>
      <c r="R61" s="119">
        <v>2825</v>
      </c>
      <c r="S61" s="119">
        <v>359.8</v>
      </c>
    </row>
    <row r="62" spans="3:19" ht="14.1" customHeight="1" thickTop="1" x14ac:dyDescent="0.3">
      <c r="C62" s="2">
        <f t="shared" si="5"/>
        <v>261.42</v>
      </c>
      <c r="D62" s="2"/>
      <c r="F62" s="98">
        <v>12500</v>
      </c>
      <c r="G62" s="99">
        <v>258.5</v>
      </c>
      <c r="H62" s="100">
        <v>277</v>
      </c>
      <c r="K62" s="108"/>
      <c r="L62" s="112">
        <v>800</v>
      </c>
      <c r="M62" s="113">
        <f t="shared" si="10"/>
        <v>119.40298507462687</v>
      </c>
      <c r="N62" s="113"/>
      <c r="O62" s="114">
        <v>291.40000000000003</v>
      </c>
      <c r="P62" s="18"/>
      <c r="R62" s="26" t="str">
        <f>IF(R60&gt;R61, "FWD WT BAD", "FWD WT OK")</f>
        <v>FWD WT OK</v>
      </c>
    </row>
    <row r="63" spans="3:19" ht="14.1" customHeight="1" thickBot="1" x14ac:dyDescent="0.35">
      <c r="C63" s="2">
        <f t="shared" si="5"/>
        <v>261.42</v>
      </c>
      <c r="D63" s="2"/>
      <c r="F63" s="98">
        <v>12600</v>
      </c>
      <c r="G63" s="99">
        <v>258.60000000000002</v>
      </c>
      <c r="H63" s="100">
        <v>277</v>
      </c>
      <c r="K63" s="108"/>
      <c r="L63" s="112">
        <v>900</v>
      </c>
      <c r="M63" s="113">
        <f t="shared" si="10"/>
        <v>134.32835820895522</v>
      </c>
      <c r="N63" s="113"/>
      <c r="O63" s="114">
        <f>AVERAGE(O62,O64)</f>
        <v>290.95000000000005</v>
      </c>
      <c r="P63" s="18"/>
      <c r="R63" s="26"/>
      <c r="S63" s="26" t="str">
        <f>IF(S60&gt;S61, "FWD MOM BAD", "FWD MOM OK")</f>
        <v>FWD MOM OK</v>
      </c>
    </row>
    <row r="64" spans="3:19" ht="14.1" customHeight="1" thickTop="1" thickBot="1" x14ac:dyDescent="0.4">
      <c r="C64" s="2">
        <f t="shared" si="5"/>
        <v>261.42</v>
      </c>
      <c r="D64" s="1" t="str">
        <f>IF(I18&lt;I17,"C.G. Not OK","OK CG")</f>
        <v>OK CG</v>
      </c>
      <c r="F64" s="98">
        <v>12700</v>
      </c>
      <c r="G64" s="99">
        <v>258.7</v>
      </c>
      <c r="H64" s="100">
        <v>277</v>
      </c>
      <c r="K64" s="108"/>
      <c r="L64" s="112">
        <v>1000</v>
      </c>
      <c r="M64" s="113">
        <f t="shared" si="10"/>
        <v>149.25373134328359</v>
      </c>
      <c r="N64" s="113"/>
      <c r="O64" s="114">
        <v>290.5</v>
      </c>
      <c r="Q64" s="263" t="s">
        <v>97</v>
      </c>
      <c r="R64" s="264"/>
      <c r="S64" s="265"/>
    </row>
    <row r="65" spans="3:19" ht="14.1" customHeight="1" thickTop="1" x14ac:dyDescent="0.35">
      <c r="C65" s="2">
        <f t="shared" si="5"/>
        <v>261.42</v>
      </c>
      <c r="F65" s="98">
        <v>12800</v>
      </c>
      <c r="G65" s="99">
        <v>258.8</v>
      </c>
      <c r="H65" s="100">
        <v>277</v>
      </c>
      <c r="K65" s="108"/>
      <c r="L65" s="112">
        <v>1100</v>
      </c>
      <c r="M65" s="113">
        <f t="shared" si="10"/>
        <v>164.17910447761193</v>
      </c>
      <c r="N65" s="113"/>
      <c r="O65" s="114">
        <f>AVERAGE(O64,O66)</f>
        <v>290.05</v>
      </c>
      <c r="P65" s="40" t="s">
        <v>88</v>
      </c>
      <c r="Q65" s="101" t="s">
        <v>89</v>
      </c>
      <c r="R65" s="101" t="s">
        <v>34</v>
      </c>
      <c r="S65" s="101" t="s">
        <v>90</v>
      </c>
    </row>
    <row r="66" spans="3:19" ht="14.1" customHeight="1" x14ac:dyDescent="0.3">
      <c r="C66" s="2">
        <f t="shared" si="5"/>
        <v>261.42</v>
      </c>
      <c r="F66" s="98">
        <v>12900</v>
      </c>
      <c r="G66" s="99">
        <v>258.89999999999998</v>
      </c>
      <c r="H66" s="100">
        <v>277</v>
      </c>
      <c r="K66" s="108"/>
      <c r="L66" s="112">
        <v>1200</v>
      </c>
      <c r="M66" s="113">
        <f t="shared" si="10"/>
        <v>179.1044776119403</v>
      </c>
      <c r="N66" s="113"/>
      <c r="O66" s="114">
        <v>289.60000000000002</v>
      </c>
      <c r="P66" s="120" t="s">
        <v>63</v>
      </c>
      <c r="Q66" s="102">
        <v>328</v>
      </c>
      <c r="R66" s="102">
        <f>Q58</f>
        <v>193</v>
      </c>
      <c r="S66" s="102">
        <f t="shared" ref="S66:S72" si="11">(((Q66-274)*(R66))/1000)</f>
        <v>10.422000000000001</v>
      </c>
    </row>
    <row r="67" spans="3:19" ht="14.1" customHeight="1" x14ac:dyDescent="0.3">
      <c r="C67" s="2">
        <f t="shared" si="5"/>
        <v>261.42</v>
      </c>
      <c r="F67" s="98">
        <v>13000</v>
      </c>
      <c r="G67" s="99">
        <v>259</v>
      </c>
      <c r="H67" s="100">
        <v>277</v>
      </c>
      <c r="K67" s="108"/>
      <c r="L67" s="112">
        <v>1300</v>
      </c>
      <c r="M67" s="113">
        <f t="shared" si="10"/>
        <v>194.02985074626866</v>
      </c>
      <c r="N67" s="113"/>
      <c r="O67" s="114">
        <f>AVERAGE(O66,O68)</f>
        <v>289.14999999999998</v>
      </c>
      <c r="P67" s="120" t="s">
        <v>64</v>
      </c>
      <c r="Q67" s="2">
        <v>359</v>
      </c>
      <c r="R67" s="102">
        <f>Q51</f>
        <v>42</v>
      </c>
      <c r="S67" s="102">
        <f t="shared" si="11"/>
        <v>3.57</v>
      </c>
    </row>
    <row r="68" spans="3:19" ht="14.1" customHeight="1" x14ac:dyDescent="0.3">
      <c r="C68" s="2">
        <f t="shared" si="5"/>
        <v>261.42</v>
      </c>
      <c r="F68" s="98">
        <v>13100</v>
      </c>
      <c r="G68" s="99">
        <v>259.10000000000002</v>
      </c>
      <c r="H68" s="100">
        <v>277</v>
      </c>
      <c r="K68" s="108"/>
      <c r="L68" s="112">
        <v>1400</v>
      </c>
      <c r="M68" s="113">
        <f t="shared" si="10"/>
        <v>208.955223880597</v>
      </c>
      <c r="N68" s="113"/>
      <c r="O68" s="114">
        <v>288.7</v>
      </c>
      <c r="P68" s="120" t="s">
        <v>65</v>
      </c>
      <c r="Q68" s="102">
        <v>389</v>
      </c>
      <c r="R68" s="102">
        <f>Q39</f>
        <v>314.04958677685948</v>
      </c>
      <c r="S68" s="102">
        <f t="shared" si="11"/>
        <v>36.115702479338843</v>
      </c>
    </row>
    <row r="69" spans="3:19" ht="14.1" customHeight="1" x14ac:dyDescent="0.3">
      <c r="C69" s="2">
        <f t="shared" si="5"/>
        <v>261.42</v>
      </c>
      <c r="F69" s="98">
        <v>13200</v>
      </c>
      <c r="G69" s="99">
        <v>259.2</v>
      </c>
      <c r="H69" s="100">
        <v>277</v>
      </c>
      <c r="K69" s="108"/>
      <c r="L69" s="112">
        <v>1500</v>
      </c>
      <c r="M69" s="113">
        <f t="shared" si="10"/>
        <v>223.88059701492537</v>
      </c>
      <c r="N69" s="113"/>
      <c r="O69" s="114">
        <f>AVERAGE(O68,O70)</f>
        <v>288.25</v>
      </c>
      <c r="P69" s="120" t="s">
        <v>66</v>
      </c>
      <c r="Q69" s="102">
        <v>419</v>
      </c>
      <c r="R69" s="102">
        <f>Q40</f>
        <v>47</v>
      </c>
      <c r="S69" s="102">
        <f t="shared" si="11"/>
        <v>6.8150000000000004</v>
      </c>
    </row>
    <row r="70" spans="3:19" ht="14.1" customHeight="1" x14ac:dyDescent="0.3">
      <c r="C70" s="2">
        <f t="shared" si="5"/>
        <v>261.42</v>
      </c>
      <c r="F70" s="98">
        <v>13300</v>
      </c>
      <c r="G70" s="99">
        <v>259.3</v>
      </c>
      <c r="H70" s="100">
        <v>277</v>
      </c>
      <c r="K70" s="108"/>
      <c r="L70" s="112">
        <v>1600</v>
      </c>
      <c r="M70" s="113">
        <f t="shared" si="10"/>
        <v>238.80597014925374</v>
      </c>
      <c r="N70" s="113"/>
      <c r="O70" s="114">
        <v>287.8</v>
      </c>
      <c r="P70" s="18" t="s">
        <v>98</v>
      </c>
      <c r="Q70" s="2">
        <f>R37</f>
        <v>370</v>
      </c>
      <c r="R70" s="102">
        <f>Q37</f>
        <v>991.73553719008248</v>
      </c>
      <c r="S70" s="102">
        <f t="shared" si="11"/>
        <v>95.206611570247915</v>
      </c>
    </row>
    <row r="71" spans="3:19" ht="14.1" customHeight="1" x14ac:dyDescent="0.3">
      <c r="C71" s="2">
        <f t="shared" si="5"/>
        <v>261.42</v>
      </c>
      <c r="F71" s="98">
        <v>13400</v>
      </c>
      <c r="G71" s="99">
        <v>259.39999999999998</v>
      </c>
      <c r="H71" s="100">
        <v>277</v>
      </c>
      <c r="K71" s="108"/>
      <c r="L71" s="112">
        <v>1700</v>
      </c>
      <c r="M71" s="113">
        <f t="shared" si="10"/>
        <v>253.73134328358208</v>
      </c>
      <c r="N71" s="113"/>
      <c r="O71" s="114">
        <f>AVERAGE(O70,O72)</f>
        <v>287.39999999999998</v>
      </c>
      <c r="P71" s="18" t="s">
        <v>99</v>
      </c>
      <c r="Q71" s="2">
        <f>R39</f>
        <v>511</v>
      </c>
      <c r="R71" s="102">
        <f>Q39</f>
        <v>314.04958677685948</v>
      </c>
      <c r="S71" s="102">
        <f t="shared" si="11"/>
        <v>74.429752066115697</v>
      </c>
    </row>
    <row r="72" spans="3:19" ht="14.1" customHeight="1" thickBot="1" x14ac:dyDescent="0.35">
      <c r="C72" s="2">
        <f t="shared" si="5"/>
        <v>261.42</v>
      </c>
      <c r="F72" s="98">
        <v>13500</v>
      </c>
      <c r="G72" s="99">
        <v>259.5</v>
      </c>
      <c r="H72" s="100">
        <v>277</v>
      </c>
      <c r="K72" s="108"/>
      <c r="L72" s="112">
        <v>1800</v>
      </c>
      <c r="M72" s="113">
        <f t="shared" si="10"/>
        <v>268.65671641791045</v>
      </c>
      <c r="N72" s="113"/>
      <c r="O72" s="114">
        <v>287</v>
      </c>
      <c r="P72" s="18" t="s">
        <v>6</v>
      </c>
      <c r="Q72" s="115">
        <f>R41</f>
        <v>525</v>
      </c>
      <c r="R72" s="116">
        <f>Q41</f>
        <v>0</v>
      </c>
      <c r="S72" s="116">
        <f t="shared" si="11"/>
        <v>0</v>
      </c>
    </row>
    <row r="73" spans="3:19" ht="14.1" customHeight="1" thickTop="1" x14ac:dyDescent="0.35">
      <c r="C73" s="2">
        <f t="shared" si="5"/>
        <v>261.42</v>
      </c>
      <c r="F73" s="98">
        <v>13600</v>
      </c>
      <c r="G73" s="99">
        <v>259.60000000000002</v>
      </c>
      <c r="H73" s="100">
        <v>277</v>
      </c>
      <c r="K73" s="108"/>
      <c r="L73" s="112">
        <v>1900</v>
      </c>
      <c r="M73" s="113">
        <f t="shared" si="10"/>
        <v>283.58208955223881</v>
      </c>
      <c r="N73" s="113"/>
      <c r="O73" s="114">
        <f>AVERAGE(O72,O74)</f>
        <v>286.64999999999998</v>
      </c>
      <c r="Q73" s="1" t="s">
        <v>94</v>
      </c>
      <c r="R73" s="118">
        <f>SUM(R66:R72)</f>
        <v>1901.8347107438017</v>
      </c>
      <c r="S73" s="118">
        <f>SUM(S66:S72)</f>
        <v>226.55906611570245</v>
      </c>
    </row>
    <row r="74" spans="3:19" ht="14.1" customHeight="1" thickBot="1" x14ac:dyDescent="0.4">
      <c r="C74" s="2">
        <f t="shared" si="5"/>
        <v>261.42</v>
      </c>
      <c r="F74" s="98">
        <v>13700</v>
      </c>
      <c r="G74" s="99">
        <v>259.7</v>
      </c>
      <c r="H74" s="100">
        <v>277</v>
      </c>
      <c r="K74" s="108"/>
      <c r="L74" s="112">
        <v>2000</v>
      </c>
      <c r="M74" s="113">
        <f t="shared" si="10"/>
        <v>298.50746268656718</v>
      </c>
      <c r="N74" s="113"/>
      <c r="O74" s="114">
        <v>286.3</v>
      </c>
      <c r="Q74" s="1" t="s">
        <v>95</v>
      </c>
      <c r="R74" s="119">
        <v>3138</v>
      </c>
      <c r="S74" s="119">
        <v>352.6</v>
      </c>
    </row>
    <row r="75" spans="3:19" ht="14.1" customHeight="1" thickTop="1" x14ac:dyDescent="0.3">
      <c r="C75" s="2">
        <f t="shared" si="5"/>
        <v>261.42</v>
      </c>
      <c r="F75" s="98">
        <v>13800</v>
      </c>
      <c r="G75" s="99">
        <v>259.8</v>
      </c>
      <c r="H75" s="100">
        <v>277</v>
      </c>
      <c r="K75" s="108"/>
      <c r="L75" s="112">
        <v>2100</v>
      </c>
      <c r="M75" s="113">
        <f t="shared" si="10"/>
        <v>313.43283582089549</v>
      </c>
      <c r="N75" s="113"/>
      <c r="O75" s="114">
        <f>AVERAGE(O74,O76)</f>
        <v>285.95000000000005</v>
      </c>
      <c r="R75" s="26" t="str">
        <f>IF(R73&gt;R74, "AFT WT BAD", "AFT WT OK")</f>
        <v>AFT WT OK</v>
      </c>
    </row>
    <row r="76" spans="3:19" ht="14.1" customHeight="1" x14ac:dyDescent="0.3">
      <c r="C76" s="2">
        <f t="shared" si="5"/>
        <v>261.42</v>
      </c>
      <c r="F76" s="98">
        <v>13900</v>
      </c>
      <c r="G76" s="99">
        <v>259.89999999999998</v>
      </c>
      <c r="H76" s="100">
        <v>277</v>
      </c>
      <c r="K76" s="108"/>
      <c r="L76" s="112">
        <v>2200</v>
      </c>
      <c r="M76" s="113">
        <f t="shared" si="10"/>
        <v>328.35820895522386</v>
      </c>
      <c r="N76" s="113"/>
      <c r="O76" s="114">
        <v>285.60000000000002</v>
      </c>
      <c r="R76" s="26"/>
      <c r="S76" s="26" t="str">
        <f>IF(S73&gt;S74, "AFT MOM BAD", "AFT MOM OK")</f>
        <v>AFT MOM OK</v>
      </c>
    </row>
    <row r="77" spans="3:19" ht="14.1" customHeight="1" x14ac:dyDescent="0.3">
      <c r="C77" s="2">
        <f t="shared" ref="C77:C99" si="12">IF(Take_Off_Wt.&lt;F79,G79,C78)</f>
        <v>261.42</v>
      </c>
      <c r="F77" s="98">
        <v>14000</v>
      </c>
      <c r="G77" s="99">
        <v>260</v>
      </c>
      <c r="H77" s="100">
        <v>277</v>
      </c>
      <c r="K77" s="108"/>
      <c r="L77" s="112">
        <v>2300</v>
      </c>
      <c r="M77" s="113">
        <f t="shared" si="10"/>
        <v>343.28358208955223</v>
      </c>
      <c r="N77" s="113"/>
      <c r="O77" s="114">
        <f>AVERAGE(O76,O78)</f>
        <v>285.3</v>
      </c>
    </row>
    <row r="78" spans="3:19" ht="14.1" customHeight="1" x14ac:dyDescent="0.3">
      <c r="C78" s="2">
        <f t="shared" si="12"/>
        <v>261.42</v>
      </c>
      <c r="F78" s="98">
        <v>14100</v>
      </c>
      <c r="G78" s="99">
        <v>260.14</v>
      </c>
      <c r="H78" s="100">
        <v>277</v>
      </c>
      <c r="K78" s="108"/>
      <c r="L78" s="112">
        <v>2400</v>
      </c>
      <c r="M78" s="113">
        <f t="shared" si="10"/>
        <v>358.20895522388059</v>
      </c>
      <c r="N78" s="113"/>
      <c r="O78" s="114">
        <v>285</v>
      </c>
    </row>
    <row r="79" spans="3:19" ht="14.1" customHeight="1" x14ac:dyDescent="0.3">
      <c r="C79" s="2">
        <f t="shared" si="12"/>
        <v>261.42</v>
      </c>
      <c r="F79" s="98">
        <v>14200</v>
      </c>
      <c r="G79" s="99">
        <v>260.28000000000003</v>
      </c>
      <c r="H79" s="100">
        <v>277</v>
      </c>
      <c r="K79" s="108"/>
      <c r="L79" s="112">
        <v>2500</v>
      </c>
      <c r="M79" s="113">
        <f t="shared" si="10"/>
        <v>373.13432835820896</v>
      </c>
      <c r="N79" s="113"/>
      <c r="O79" s="114">
        <f>AVERAGE(O78,O80)</f>
        <v>284.70000000000005</v>
      </c>
    </row>
    <row r="80" spans="3:19" ht="14.1" customHeight="1" x14ac:dyDescent="0.3">
      <c r="C80" s="2">
        <f t="shared" si="12"/>
        <v>261.42</v>
      </c>
      <c r="F80" s="98">
        <v>14300</v>
      </c>
      <c r="G80" s="99">
        <v>260.42</v>
      </c>
      <c r="H80" s="100">
        <v>277</v>
      </c>
      <c r="K80" s="108"/>
      <c r="L80" s="112">
        <v>2600</v>
      </c>
      <c r="M80" s="113">
        <f t="shared" si="10"/>
        <v>388.05970149253733</v>
      </c>
      <c r="N80" s="113"/>
      <c r="O80" s="114">
        <v>284.40000000000003</v>
      </c>
    </row>
    <row r="81" spans="3:15" ht="14.1" customHeight="1" x14ac:dyDescent="0.3">
      <c r="C81" s="2">
        <f t="shared" si="12"/>
        <v>261.42</v>
      </c>
      <c r="F81" s="98">
        <v>14400</v>
      </c>
      <c r="G81" s="99">
        <v>260.56</v>
      </c>
      <c r="H81" s="100">
        <v>277</v>
      </c>
      <c r="K81" s="108"/>
      <c r="L81" s="112">
        <v>2700</v>
      </c>
      <c r="M81" s="113">
        <f t="shared" si="10"/>
        <v>402.98507462686564</v>
      </c>
      <c r="N81" s="113"/>
      <c r="O81" s="114">
        <f>AVERAGE(O80,O82)</f>
        <v>284.15000000000003</v>
      </c>
    </row>
    <row r="82" spans="3:15" ht="14.1" customHeight="1" x14ac:dyDescent="0.3">
      <c r="C82" s="2">
        <f t="shared" si="12"/>
        <v>261.42</v>
      </c>
      <c r="F82" s="98">
        <v>14500</v>
      </c>
      <c r="G82" s="99">
        <v>260.7</v>
      </c>
      <c r="H82" s="100">
        <v>277</v>
      </c>
      <c r="K82" s="108"/>
      <c r="L82" s="112">
        <v>2800</v>
      </c>
      <c r="M82" s="113">
        <f t="shared" si="10"/>
        <v>417.91044776119401</v>
      </c>
      <c r="N82" s="113"/>
      <c r="O82" s="114">
        <v>283.90000000000003</v>
      </c>
    </row>
    <row r="83" spans="3:15" ht="14.1" customHeight="1" x14ac:dyDescent="0.3">
      <c r="C83" s="2">
        <f t="shared" si="12"/>
        <v>261.42</v>
      </c>
      <c r="F83" s="98">
        <v>14600</v>
      </c>
      <c r="G83" s="99">
        <v>260.78000000000003</v>
      </c>
      <c r="H83" s="100">
        <v>277</v>
      </c>
      <c r="K83" s="108"/>
      <c r="L83" s="112">
        <v>2900</v>
      </c>
      <c r="M83" s="113">
        <f t="shared" si="10"/>
        <v>432.83582089552237</v>
      </c>
      <c r="N83" s="113"/>
      <c r="O83" s="114">
        <f>AVERAGE(O82,O84)</f>
        <v>283.70000000000005</v>
      </c>
    </row>
    <row r="84" spans="3:15" ht="14.1" customHeight="1" x14ac:dyDescent="0.3">
      <c r="C84" s="2">
        <f t="shared" si="12"/>
        <v>261.42</v>
      </c>
      <c r="F84" s="98">
        <v>14700</v>
      </c>
      <c r="G84" s="99">
        <v>260.86</v>
      </c>
      <c r="H84" s="100">
        <v>277</v>
      </c>
      <c r="K84" s="108"/>
      <c r="L84" s="112">
        <v>3000</v>
      </c>
      <c r="M84" s="113">
        <f t="shared" si="10"/>
        <v>447.76119402985074</v>
      </c>
      <c r="N84" s="113"/>
      <c r="O84" s="114">
        <v>283.5</v>
      </c>
    </row>
    <row r="85" spans="3:15" ht="14.1" customHeight="1" x14ac:dyDescent="0.3">
      <c r="C85" s="2">
        <f t="shared" si="12"/>
        <v>261.42</v>
      </c>
      <c r="F85" s="98">
        <v>14800</v>
      </c>
      <c r="G85" s="99">
        <v>260.94</v>
      </c>
      <c r="H85" s="100">
        <v>277</v>
      </c>
      <c r="K85" s="108"/>
      <c r="L85" s="112">
        <v>3100</v>
      </c>
      <c r="M85" s="113">
        <f t="shared" si="10"/>
        <v>462.68656716417911</v>
      </c>
      <c r="N85" s="113"/>
      <c r="O85" s="114">
        <f>AVERAGE(O84,O86)</f>
        <v>283.25</v>
      </c>
    </row>
    <row r="86" spans="3:15" ht="14.1" customHeight="1" x14ac:dyDescent="0.3">
      <c r="C86" s="2">
        <f t="shared" si="12"/>
        <v>261.42</v>
      </c>
      <c r="F86" s="98">
        <v>14900</v>
      </c>
      <c r="G86" s="99">
        <v>261.02</v>
      </c>
      <c r="H86" s="100">
        <v>277</v>
      </c>
      <c r="K86" s="108"/>
      <c r="L86" s="112">
        <v>3200</v>
      </c>
      <c r="M86" s="113">
        <f t="shared" si="10"/>
        <v>477.61194029850748</v>
      </c>
      <c r="N86" s="113"/>
      <c r="O86" s="114">
        <v>283</v>
      </c>
    </row>
    <row r="87" spans="3:15" ht="14.1" customHeight="1" x14ac:dyDescent="0.3">
      <c r="C87" s="2">
        <f t="shared" si="12"/>
        <v>261.42</v>
      </c>
      <c r="F87" s="98">
        <v>15000</v>
      </c>
      <c r="G87" s="99">
        <v>261.10000000000002</v>
      </c>
      <c r="H87" s="100">
        <v>277</v>
      </c>
      <c r="K87" s="108"/>
      <c r="L87" s="112">
        <v>3300</v>
      </c>
      <c r="M87" s="113">
        <f t="shared" si="10"/>
        <v>492.53731343283579</v>
      </c>
      <c r="N87" s="113"/>
      <c r="O87" s="114">
        <f>AVERAGE(O86,O88)</f>
        <v>282.8</v>
      </c>
    </row>
    <row r="88" spans="3:15" ht="14.1" customHeight="1" x14ac:dyDescent="0.3">
      <c r="C88" s="2">
        <f t="shared" si="12"/>
        <v>261.42</v>
      </c>
      <c r="F88" s="98">
        <v>15100</v>
      </c>
      <c r="G88" s="99">
        <v>261.18</v>
      </c>
      <c r="H88" s="100">
        <v>277</v>
      </c>
      <c r="K88" s="108"/>
      <c r="L88" s="112">
        <v>3400</v>
      </c>
      <c r="M88" s="113">
        <f t="shared" si="10"/>
        <v>507.46268656716416</v>
      </c>
      <c r="N88" s="113"/>
      <c r="O88" s="114">
        <v>282.60000000000002</v>
      </c>
    </row>
    <row r="89" spans="3:15" ht="14.1" customHeight="1" x14ac:dyDescent="0.3">
      <c r="C89" s="2">
        <f t="shared" si="12"/>
        <v>261.42</v>
      </c>
      <c r="F89" s="98">
        <v>15200</v>
      </c>
      <c r="G89" s="99">
        <v>261.26</v>
      </c>
      <c r="H89" s="100">
        <v>277</v>
      </c>
      <c r="K89" s="108"/>
      <c r="L89" s="112">
        <v>3500</v>
      </c>
      <c r="M89" s="113">
        <f t="shared" si="10"/>
        <v>522.38805970149258</v>
      </c>
      <c r="N89" s="113"/>
      <c r="O89" s="114">
        <f>AVERAGE(O88,O90)</f>
        <v>282.45000000000005</v>
      </c>
    </row>
    <row r="90" spans="3:15" ht="14.1" customHeight="1" x14ac:dyDescent="0.3">
      <c r="C90" s="2">
        <f t="shared" si="12"/>
        <v>261.5</v>
      </c>
      <c r="F90" s="98">
        <v>15300</v>
      </c>
      <c r="G90" s="99">
        <v>261.34000000000003</v>
      </c>
      <c r="H90" s="100">
        <v>277</v>
      </c>
      <c r="K90" s="108"/>
      <c r="L90" s="112">
        <v>3600</v>
      </c>
      <c r="M90" s="113">
        <f t="shared" si="10"/>
        <v>537.31343283582089</v>
      </c>
      <c r="N90" s="113"/>
      <c r="O90" s="114">
        <v>282.3</v>
      </c>
    </row>
    <row r="91" spans="3:15" ht="14.1" customHeight="1" x14ac:dyDescent="0.3">
      <c r="C91" s="2">
        <f t="shared" si="12"/>
        <v>261.58</v>
      </c>
      <c r="F91" s="98">
        <v>15400</v>
      </c>
      <c r="G91" s="99">
        <v>261.42</v>
      </c>
      <c r="H91" s="100">
        <v>277</v>
      </c>
      <c r="K91" s="108"/>
      <c r="L91" s="112">
        <v>3700</v>
      </c>
      <c r="M91" s="113">
        <f t="shared" si="10"/>
        <v>552.2388059701492</v>
      </c>
      <c r="N91" s="113"/>
      <c r="O91" s="114">
        <f>AVERAGE(O90,O92)</f>
        <v>282.14999999999998</v>
      </c>
    </row>
    <row r="92" spans="3:15" ht="14.1" customHeight="1" x14ac:dyDescent="0.3">
      <c r="C92" s="2">
        <f t="shared" si="12"/>
        <v>261.66000000000003</v>
      </c>
      <c r="F92" s="98">
        <v>15500</v>
      </c>
      <c r="G92" s="99">
        <v>261.5</v>
      </c>
      <c r="H92" s="100">
        <v>277</v>
      </c>
      <c r="K92" s="108"/>
      <c r="L92" s="112">
        <v>3800</v>
      </c>
      <c r="M92" s="113">
        <f t="shared" si="10"/>
        <v>567.16417910447763</v>
      </c>
      <c r="N92" s="113"/>
      <c r="O92" s="114">
        <v>282</v>
      </c>
    </row>
    <row r="93" spans="3:15" ht="14.1" customHeight="1" x14ac:dyDescent="0.3">
      <c r="C93" s="2">
        <f t="shared" si="12"/>
        <v>261.74</v>
      </c>
      <c r="F93" s="98">
        <v>15600</v>
      </c>
      <c r="G93" s="99">
        <v>261.58</v>
      </c>
      <c r="H93" s="100">
        <v>277</v>
      </c>
      <c r="K93" s="108"/>
      <c r="L93" s="112">
        <v>3900</v>
      </c>
      <c r="M93" s="113">
        <f t="shared" si="10"/>
        <v>582.08955223880594</v>
      </c>
      <c r="N93" s="113"/>
      <c r="O93" s="114">
        <f>AVERAGE(O92,O94)</f>
        <v>281.85000000000002</v>
      </c>
    </row>
    <row r="94" spans="3:15" ht="14.1" customHeight="1" x14ac:dyDescent="0.3">
      <c r="C94" s="2">
        <f t="shared" si="12"/>
        <v>261.82</v>
      </c>
      <c r="F94" s="98">
        <v>15700</v>
      </c>
      <c r="G94" s="99">
        <v>261.66000000000003</v>
      </c>
      <c r="H94" s="100">
        <v>277</v>
      </c>
      <c r="K94" s="108"/>
      <c r="L94" s="112">
        <v>4000</v>
      </c>
      <c r="M94" s="113">
        <f t="shared" si="10"/>
        <v>597.01492537313436</v>
      </c>
      <c r="N94" s="110"/>
      <c r="O94" s="114">
        <v>281.7</v>
      </c>
    </row>
    <row r="95" spans="3:15" ht="14.1" customHeight="1" x14ac:dyDescent="0.3">
      <c r="C95" s="2">
        <f t="shared" si="12"/>
        <v>261.89999999999998</v>
      </c>
      <c r="F95" s="98">
        <v>15800</v>
      </c>
      <c r="G95" s="99">
        <v>261.74</v>
      </c>
      <c r="H95" s="100">
        <v>277</v>
      </c>
      <c r="K95" s="108"/>
      <c r="L95" s="112">
        <v>4100</v>
      </c>
      <c r="M95" s="113">
        <f t="shared" si="10"/>
        <v>611.94029850746267</v>
      </c>
      <c r="N95" s="113"/>
      <c r="O95" s="114">
        <f>AVERAGE(O94,O96)</f>
        <v>281.55</v>
      </c>
    </row>
    <row r="96" spans="3:15" ht="14.1" customHeight="1" x14ac:dyDescent="0.3">
      <c r="C96" s="2">
        <f t="shared" si="12"/>
        <v>261.98</v>
      </c>
      <c r="F96" s="98">
        <v>15900</v>
      </c>
      <c r="G96" s="99">
        <v>261.82</v>
      </c>
      <c r="H96" s="100">
        <v>277</v>
      </c>
      <c r="K96" s="108"/>
      <c r="L96" s="112">
        <v>4200</v>
      </c>
      <c r="M96" s="113">
        <f t="shared" si="10"/>
        <v>626.86567164179098</v>
      </c>
      <c r="N96" s="121"/>
      <c r="O96" s="114">
        <v>281.40000000000003</v>
      </c>
    </row>
    <row r="97" spans="3:15" ht="14.1" customHeight="1" x14ac:dyDescent="0.3">
      <c r="C97" s="2">
        <f t="shared" si="12"/>
        <v>262.06</v>
      </c>
      <c r="F97" s="98">
        <v>16000</v>
      </c>
      <c r="G97" s="99">
        <v>261.89999999999998</v>
      </c>
      <c r="H97" s="100">
        <v>277</v>
      </c>
      <c r="K97" s="108"/>
      <c r="L97" s="112">
        <v>4342</v>
      </c>
      <c r="M97" s="125">
        <f t="shared" si="10"/>
        <v>648.05970149253733</v>
      </c>
      <c r="N97" s="126"/>
      <c r="O97" s="114">
        <v>281.3</v>
      </c>
    </row>
    <row r="98" spans="3:15" ht="14.1" customHeight="1" x14ac:dyDescent="0.3">
      <c r="C98" s="2">
        <f t="shared" si="12"/>
        <v>262.14</v>
      </c>
      <c r="F98" s="122">
        <v>16100</v>
      </c>
      <c r="G98" s="123">
        <v>261.98</v>
      </c>
      <c r="H98" s="124">
        <v>277</v>
      </c>
      <c r="K98" s="127" t="s">
        <v>56</v>
      </c>
      <c r="L98" s="128">
        <v>4400</v>
      </c>
      <c r="M98" s="129">
        <f>L98/6.8</f>
        <v>647.05882352941182</v>
      </c>
      <c r="N98" s="126"/>
      <c r="O98" s="130">
        <v>281.3</v>
      </c>
    </row>
    <row r="99" spans="3:15" ht="14.1" customHeight="1" x14ac:dyDescent="0.3">
      <c r="C99" s="2">
        <f t="shared" si="12"/>
        <v>262.22000000000003</v>
      </c>
      <c r="F99" s="122">
        <v>16200</v>
      </c>
      <c r="G99" s="123">
        <v>262.06</v>
      </c>
      <c r="H99" s="124">
        <v>277</v>
      </c>
      <c r="K99" s="127" t="s">
        <v>57</v>
      </c>
      <c r="L99" s="112">
        <v>4600</v>
      </c>
      <c r="M99" s="125">
        <f>L99/7.1</f>
        <v>647.88732394366195</v>
      </c>
      <c r="N99" s="126"/>
      <c r="O99" s="130">
        <v>281.3</v>
      </c>
    </row>
    <row r="100" spans="3:15" ht="14.1" customHeight="1" x14ac:dyDescent="0.3">
      <c r="C100" s="2">
        <f>IF(Take_Off_Wt.&lt;F102,G102,#REF!)</f>
        <v>262.3</v>
      </c>
      <c r="F100" s="122">
        <v>16300</v>
      </c>
      <c r="G100" s="123">
        <v>262.14</v>
      </c>
      <c r="H100" s="124">
        <v>277</v>
      </c>
    </row>
    <row r="101" spans="3:15" ht="14.1" customHeight="1" x14ac:dyDescent="0.3">
      <c r="F101" s="122">
        <v>16400</v>
      </c>
      <c r="G101" s="123">
        <v>262.22000000000003</v>
      </c>
      <c r="H101" s="124">
        <v>277</v>
      </c>
    </row>
    <row r="102" spans="3:15" ht="14.1" customHeight="1" x14ac:dyDescent="0.3">
      <c r="F102" s="122">
        <v>16500</v>
      </c>
      <c r="G102" s="123">
        <v>262.3</v>
      </c>
      <c r="H102" s="124">
        <v>277</v>
      </c>
    </row>
    <row r="103" spans="3:15" ht="14.1" customHeight="1" x14ac:dyDescent="0.3"/>
    <row r="104" spans="3:15" ht="14.1" customHeight="1" x14ac:dyDescent="0.3"/>
    <row r="105" spans="3:15" ht="14.1" customHeight="1" x14ac:dyDescent="0.3"/>
    <row r="106" spans="3:15" ht="14.1" customHeight="1" x14ac:dyDescent="0.3"/>
    <row r="107" spans="3:15" ht="14.1" customHeight="1" x14ac:dyDescent="0.3"/>
    <row r="108" spans="3:15" ht="14.1" customHeight="1" x14ac:dyDescent="0.3"/>
    <row r="109" spans="3:15" ht="14.1" customHeight="1" x14ac:dyDescent="0.3"/>
    <row r="110" spans="3:15" ht="14.1" customHeight="1" x14ac:dyDescent="0.3"/>
    <row r="111" spans="3:15" ht="14.1" customHeight="1" x14ac:dyDescent="0.3"/>
    <row r="112" spans="3:15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  <row r="124" ht="14.1" customHeight="1" x14ac:dyDescent="0.3"/>
    <row r="125" ht="14.1" customHeight="1" x14ac:dyDescent="0.3"/>
    <row r="126" ht="14.1" customHeight="1" x14ac:dyDescent="0.3"/>
    <row r="127" ht="14.1" customHeight="1" x14ac:dyDescent="0.3"/>
    <row r="128" ht="14.1" customHeight="1" x14ac:dyDescent="0.3"/>
    <row r="129" ht="14.1" customHeight="1" x14ac:dyDescent="0.3"/>
    <row r="130" ht="14.1" customHeight="1" x14ac:dyDescent="0.3"/>
    <row r="131" ht="14.1" customHeight="1" x14ac:dyDescent="0.3"/>
    <row r="132" ht="14.1" customHeight="1" x14ac:dyDescent="0.3"/>
    <row r="133" ht="14.1" customHeight="1" x14ac:dyDescent="0.3"/>
    <row r="134" ht="14.1" customHeight="1" x14ac:dyDescent="0.3"/>
    <row r="135" ht="14.1" customHeight="1" x14ac:dyDescent="0.3"/>
    <row r="136" ht="14.1" customHeight="1" x14ac:dyDescent="0.3"/>
    <row r="137" ht="14.1" customHeight="1" x14ac:dyDescent="0.3"/>
    <row r="138" ht="14.1" customHeight="1" x14ac:dyDescent="0.3"/>
    <row r="139" ht="14.1" customHeight="1" x14ac:dyDescent="0.3"/>
    <row r="140" ht="14.1" customHeight="1" x14ac:dyDescent="0.3"/>
    <row r="141" ht="14.1" customHeight="1" x14ac:dyDescent="0.3"/>
    <row r="142" ht="14.1" customHeight="1" x14ac:dyDescent="0.3"/>
    <row r="143" ht="14.1" customHeight="1" x14ac:dyDescent="0.3"/>
    <row r="144" ht="14.1" customHeight="1" x14ac:dyDescent="0.3"/>
    <row r="145" ht="14.1" customHeight="1" x14ac:dyDescent="0.3"/>
    <row r="146" ht="14.1" customHeight="1" x14ac:dyDescent="0.3"/>
    <row r="147" ht="14.1" customHeight="1" x14ac:dyDescent="0.3"/>
    <row r="148" ht="14.1" customHeight="1" x14ac:dyDescent="0.3"/>
    <row r="149" ht="14.1" customHeight="1" x14ac:dyDescent="0.3"/>
    <row r="150" ht="14.1" customHeight="1" x14ac:dyDescent="0.3"/>
    <row r="151" ht="14.1" customHeight="1" x14ac:dyDescent="0.3"/>
    <row r="152" ht="14.1" customHeight="1" x14ac:dyDescent="0.3"/>
    <row r="153" ht="14.1" customHeight="1" x14ac:dyDescent="0.3"/>
    <row r="154" ht="14.1" customHeight="1" x14ac:dyDescent="0.3"/>
    <row r="155" ht="14.1" customHeight="1" x14ac:dyDescent="0.3"/>
    <row r="156" ht="14.1" customHeight="1" x14ac:dyDescent="0.3"/>
    <row r="157" ht="14.1" customHeight="1" x14ac:dyDescent="0.3"/>
    <row r="158" ht="14.1" customHeight="1" x14ac:dyDescent="0.3"/>
    <row r="159" ht="14.1" customHeight="1" x14ac:dyDescent="0.3"/>
    <row r="160" ht="14.1" customHeight="1" x14ac:dyDescent="0.3"/>
    <row r="161" ht="14.1" customHeight="1" x14ac:dyDescent="0.3"/>
    <row r="162" ht="14.1" customHeight="1" x14ac:dyDescent="0.3"/>
    <row r="163" ht="14.1" customHeight="1" x14ac:dyDescent="0.3"/>
    <row r="164" ht="14.1" customHeight="1" x14ac:dyDescent="0.3"/>
    <row r="165" ht="14.1" customHeight="1" x14ac:dyDescent="0.3"/>
    <row r="166" ht="14.1" customHeight="1" x14ac:dyDescent="0.3"/>
    <row r="167" ht="14.1" customHeight="1" x14ac:dyDescent="0.3"/>
    <row r="168" ht="14.1" customHeight="1" x14ac:dyDescent="0.3"/>
    <row r="169" ht="14.1" customHeight="1" x14ac:dyDescent="0.3"/>
    <row r="170" ht="14.1" customHeight="1" x14ac:dyDescent="0.3"/>
    <row r="171" ht="14.1" customHeight="1" x14ac:dyDescent="0.3"/>
    <row r="172" ht="14.1" customHeight="1" x14ac:dyDescent="0.3"/>
    <row r="173" ht="14.1" customHeight="1" x14ac:dyDescent="0.3"/>
    <row r="174" ht="14.1" customHeight="1" x14ac:dyDescent="0.3"/>
    <row r="175" ht="14.1" customHeight="1" x14ac:dyDescent="0.3"/>
    <row r="176" ht="14.1" customHeight="1" x14ac:dyDescent="0.3"/>
    <row r="177" ht="14.1" customHeight="1" x14ac:dyDescent="0.3"/>
    <row r="178" ht="14.1" customHeight="1" x14ac:dyDescent="0.3"/>
    <row r="179" ht="14.1" customHeight="1" x14ac:dyDescent="0.3"/>
    <row r="180" ht="14.1" customHeight="1" x14ac:dyDescent="0.3"/>
    <row r="181" ht="14.1" customHeight="1" x14ac:dyDescent="0.3"/>
    <row r="182" ht="14.1" customHeight="1" x14ac:dyDescent="0.3"/>
    <row r="183" ht="14.1" customHeight="1" x14ac:dyDescent="0.3"/>
    <row r="184" ht="14.1" customHeight="1" x14ac:dyDescent="0.3"/>
    <row r="185" ht="14.1" customHeight="1" x14ac:dyDescent="0.3"/>
    <row r="186" ht="14.1" customHeight="1" x14ac:dyDescent="0.3"/>
    <row r="187" ht="14.1" customHeight="1" x14ac:dyDescent="0.3"/>
    <row r="188" ht="14.1" customHeight="1" x14ac:dyDescent="0.3"/>
    <row r="189" ht="14.1" customHeight="1" x14ac:dyDescent="0.3"/>
    <row r="190" ht="14.1" customHeight="1" x14ac:dyDescent="0.3"/>
    <row r="191" ht="14.1" customHeight="1" x14ac:dyDescent="0.3"/>
    <row r="192" ht="14.1" customHeight="1" x14ac:dyDescent="0.3"/>
    <row r="193" ht="14.1" customHeight="1" x14ac:dyDescent="0.3"/>
    <row r="194" ht="14.1" customHeight="1" x14ac:dyDescent="0.3"/>
    <row r="195" ht="14.1" customHeight="1" x14ac:dyDescent="0.3"/>
    <row r="196" ht="14.1" customHeight="1" x14ac:dyDescent="0.3"/>
    <row r="197" ht="14.1" customHeight="1" x14ac:dyDescent="0.3"/>
    <row r="198" ht="14.1" customHeight="1" x14ac:dyDescent="0.3"/>
    <row r="199" ht="14.1" customHeight="1" x14ac:dyDescent="0.3"/>
    <row r="200" ht="14.1" customHeight="1" x14ac:dyDescent="0.3"/>
    <row r="201" ht="14.1" customHeight="1" x14ac:dyDescent="0.3"/>
    <row r="202" ht="14.1" customHeight="1" x14ac:dyDescent="0.3"/>
    <row r="203" ht="14.1" customHeight="1" x14ac:dyDescent="0.3"/>
    <row r="204" ht="14.1" customHeight="1" x14ac:dyDescent="0.3"/>
    <row r="205" ht="14.1" customHeight="1" x14ac:dyDescent="0.3"/>
    <row r="206" ht="14.1" customHeight="1" x14ac:dyDescent="0.3"/>
    <row r="207" ht="14.1" customHeight="1" x14ac:dyDescent="0.3"/>
    <row r="208" ht="14.1" customHeight="1" x14ac:dyDescent="0.3"/>
    <row r="209" ht="14.1" customHeight="1" x14ac:dyDescent="0.3"/>
    <row r="210" ht="14.1" customHeight="1" x14ac:dyDescent="0.3"/>
    <row r="211" ht="14.1" customHeight="1" x14ac:dyDescent="0.3"/>
    <row r="212" ht="14.1" customHeight="1" x14ac:dyDescent="0.3"/>
    <row r="213" ht="14.1" customHeight="1" x14ac:dyDescent="0.3"/>
    <row r="214" ht="14.1" customHeight="1" x14ac:dyDescent="0.3"/>
    <row r="215" ht="14.1" customHeight="1" x14ac:dyDescent="0.3"/>
    <row r="216" ht="14.1" customHeight="1" x14ac:dyDescent="0.3"/>
    <row r="217" ht="14.1" customHeight="1" x14ac:dyDescent="0.3"/>
    <row r="218" ht="14.1" customHeight="1" x14ac:dyDescent="0.3"/>
    <row r="219" ht="14.1" customHeight="1" x14ac:dyDescent="0.3"/>
    <row r="220" ht="14.1" customHeight="1" x14ac:dyDescent="0.3"/>
    <row r="221" ht="14.1" customHeight="1" x14ac:dyDescent="0.3"/>
    <row r="222" ht="14.1" customHeight="1" x14ac:dyDescent="0.3"/>
    <row r="223" ht="14.1" customHeight="1" x14ac:dyDescent="0.3"/>
    <row r="224" ht="14.1" customHeight="1" x14ac:dyDescent="0.3"/>
    <row r="225" ht="14.1" customHeight="1" x14ac:dyDescent="0.3"/>
    <row r="226" ht="14.1" customHeight="1" x14ac:dyDescent="0.3"/>
  </sheetData>
  <sheetProtection sheet="1" objects="1" scenarios="1"/>
  <customSheetViews>
    <customSheetView guid="{4F507386-4E6B-4875-9561-87445ECB3559}" showGridLines="0" fitToPage="1">
      <selection activeCell="J44" sqref="J44"/>
      <pageMargins left="0.75" right="0.75" top="1" bottom="1" header="0.5" footer="0.5"/>
      <printOptions gridLines="1"/>
      <pageSetup orientation="landscape" r:id="rId1"/>
      <headerFooter alignWithMargins="0"/>
    </customSheetView>
    <customSheetView guid="{AF11E29A-50E1-4A26-95AE-CA01C1F61192}" showGridLines="0" fitToPage="1">
      <selection activeCell="I4" sqref="I4"/>
      <pageMargins left="0.75" right="0.75" top="1" bottom="1" header="0.5" footer="0.5"/>
      <printOptions gridLines="1"/>
      <pageSetup orientation="landscape" r:id="rId2"/>
      <headerFooter alignWithMargins="0"/>
    </customSheetView>
  </customSheetViews>
  <mergeCells count="36">
    <mergeCell ref="K4:L4"/>
    <mergeCell ref="K5:L5"/>
    <mergeCell ref="E35:G35"/>
    <mergeCell ref="E36:G36"/>
    <mergeCell ref="D16:E19"/>
    <mergeCell ref="I33:J33"/>
    <mergeCell ref="I32:J32"/>
    <mergeCell ref="J16:L16"/>
    <mergeCell ref="I18:J18"/>
    <mergeCell ref="I27:J27"/>
    <mergeCell ref="I28:J28"/>
    <mergeCell ref="I30:J30"/>
    <mergeCell ref="I31:J31"/>
    <mergeCell ref="E29:G29"/>
    <mergeCell ref="E30:G30"/>
    <mergeCell ref="E31:G31"/>
    <mergeCell ref="E32:G32"/>
    <mergeCell ref="E33:G33"/>
    <mergeCell ref="E34:G34"/>
    <mergeCell ref="D13:D15"/>
    <mergeCell ref="E26:G26"/>
    <mergeCell ref="B27:G27"/>
    <mergeCell ref="I6:J6"/>
    <mergeCell ref="J8:M8"/>
    <mergeCell ref="S6:T6"/>
    <mergeCell ref="I7:J7"/>
    <mergeCell ref="S12:T12"/>
    <mergeCell ref="U15:V16"/>
    <mergeCell ref="Q47:S47"/>
    <mergeCell ref="Q64:S64"/>
    <mergeCell ref="M53:M54"/>
    <mergeCell ref="O53:O54"/>
    <mergeCell ref="S15:T16"/>
    <mergeCell ref="L22:M22"/>
    <mergeCell ref="O31:O34"/>
    <mergeCell ref="P15:Q19"/>
  </mergeCells>
  <dataValidations count="1">
    <dataValidation type="list" showInputMessage="1" showErrorMessage="1" promptTitle="S/G Location" prompt="Please select from the list" sqref="D9" xr:uid="{02ECA875-CADC-4DC3-9075-B2F34C0A00CA}">
      <formula1>$X$16:$X$17</formula1>
    </dataValidation>
  </dataValidations>
  <printOptions gridLines="1"/>
  <pageMargins left="0.75" right="0.75" top="1" bottom="1" header="0.5" footer="0.5"/>
  <pageSetup orientation="landscape" r:id="rId3"/>
  <headerFooter alignWithMargins="0"/>
  <ignoredErrors>
    <ignoredError sqref="G23 I15 I9:I10 I16:I18 J16 I13:I14" unlockedFormula="1"/>
    <ignoredError sqref="O35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226"/>
  <sheetViews>
    <sheetView showGridLines="0" zoomScaleNormal="100" workbookViewId="0">
      <selection activeCell="D9" sqref="D9"/>
    </sheetView>
  </sheetViews>
  <sheetFormatPr defaultColWidth="10" defaultRowHeight="15" x14ac:dyDescent="0.3"/>
  <cols>
    <col min="1" max="1" width="2.42578125" style="1" customWidth="1"/>
    <col min="2" max="2" width="10.42578125" style="1" customWidth="1"/>
    <col min="3" max="3" width="7.85546875" style="1" customWidth="1"/>
    <col min="4" max="4" width="15.140625" style="1" customWidth="1"/>
    <col min="5" max="5" width="2.42578125" style="1" customWidth="1"/>
    <col min="6" max="6" width="24.85546875" style="1" customWidth="1"/>
    <col min="7" max="7" width="12.28515625" style="1" customWidth="1"/>
    <col min="8" max="8" width="15.85546875" style="1" customWidth="1"/>
    <col min="9" max="9" width="10.5703125" style="1" customWidth="1"/>
    <col min="10" max="10" width="9.140625" style="1" customWidth="1"/>
    <col min="11" max="11" width="9" style="1" customWidth="1"/>
    <col min="12" max="12" width="7.7109375" style="1" customWidth="1"/>
    <col min="13" max="13" width="14.7109375" style="1" customWidth="1"/>
    <col min="14" max="14" width="1.140625" style="1" customWidth="1"/>
    <col min="15" max="15" width="7" style="1" customWidth="1"/>
    <col min="16" max="16" width="19.5703125" style="1" customWidth="1"/>
    <col min="17" max="17" width="11.7109375" style="1" customWidth="1"/>
    <col min="18" max="18" width="9.28515625" style="1" customWidth="1"/>
    <col min="19" max="19" width="11.28515625" style="1" customWidth="1"/>
    <col min="20" max="20" width="8" style="1" customWidth="1"/>
    <col min="21" max="21" width="1.7109375" style="1" customWidth="1"/>
    <col min="22" max="22" width="21.85546875" style="1" bestFit="1" customWidth="1"/>
    <col min="23" max="23" width="5.7109375" style="1" bestFit="1" customWidth="1"/>
    <col min="24" max="24" width="6.28515625" style="1" bestFit="1" customWidth="1"/>
    <col min="25" max="25" width="6.42578125" style="1" bestFit="1" customWidth="1"/>
    <col min="26" max="26" width="5.85546875" style="1" bestFit="1" customWidth="1"/>
    <col min="27" max="27" width="7" style="1" bestFit="1" customWidth="1"/>
    <col min="28" max="16384" width="10" style="1"/>
  </cols>
  <sheetData>
    <row r="1" spans="4:27" ht="6.6" customHeight="1" thickBot="1" x14ac:dyDescent="0.35"/>
    <row r="2" spans="4:27" ht="23.25" customHeight="1" x14ac:dyDescent="0.5">
      <c r="D2" s="135"/>
      <c r="E2" s="136"/>
      <c r="F2" s="136"/>
      <c r="G2" s="137" t="s">
        <v>149</v>
      </c>
      <c r="H2" s="136"/>
      <c r="I2" s="136"/>
      <c r="J2" s="136"/>
      <c r="K2" s="136"/>
      <c r="L2" s="136"/>
      <c r="M2" s="138"/>
    </row>
    <row r="3" spans="4:27" ht="6.75" customHeight="1" thickBot="1" x14ac:dyDescent="0.45">
      <c r="D3" s="31"/>
      <c r="F3" s="10"/>
      <c r="G3" s="11"/>
      <c r="H3" s="12"/>
      <c r="I3" s="13"/>
      <c r="J3" s="13"/>
      <c r="M3" s="139"/>
    </row>
    <row r="4" spans="4:27" ht="20.25" customHeight="1" thickTop="1" thickBot="1" x14ac:dyDescent="0.4">
      <c r="D4" s="31"/>
      <c r="F4" s="14" t="s">
        <v>0</v>
      </c>
      <c r="G4" s="131">
        <f>180+200</f>
        <v>380</v>
      </c>
      <c r="H4" s="15" t="s">
        <v>1</v>
      </c>
      <c r="I4" s="131">
        <v>130</v>
      </c>
      <c r="J4" s="219" t="s">
        <v>2</v>
      </c>
      <c r="K4" s="281" t="s">
        <v>151</v>
      </c>
      <c r="L4" s="282"/>
      <c r="M4" s="223">
        <v>46146</v>
      </c>
      <c r="Q4" s="16"/>
      <c r="T4" s="16"/>
      <c r="U4" s="7"/>
      <c r="V4" s="7"/>
    </row>
    <row r="5" spans="4:27" ht="15" customHeight="1" thickBot="1" x14ac:dyDescent="0.4">
      <c r="D5" s="31"/>
      <c r="F5" s="14" t="s">
        <v>172</v>
      </c>
      <c r="G5" s="131">
        <v>0</v>
      </c>
      <c r="H5" s="17" t="s">
        <v>3</v>
      </c>
      <c r="I5" s="131">
        <v>2</v>
      </c>
      <c r="J5" s="220"/>
      <c r="K5" s="283" t="s">
        <v>152</v>
      </c>
      <c r="L5" s="284"/>
      <c r="M5" s="224" t="s">
        <v>178</v>
      </c>
      <c r="O5" s="5" t="s">
        <v>159</v>
      </c>
      <c r="P5" s="18"/>
      <c r="Q5" s="16" t="s">
        <v>60</v>
      </c>
      <c r="T5" s="18"/>
      <c r="V5"/>
      <c r="W5" s="94" t="s">
        <v>89</v>
      </c>
      <c r="X5" s="94" t="s">
        <v>133</v>
      </c>
      <c r="Y5"/>
      <c r="Z5"/>
      <c r="AA5"/>
    </row>
    <row r="6" spans="4:27" ht="15" customHeight="1" thickTop="1" thickBot="1" x14ac:dyDescent="0.4">
      <c r="D6" s="31"/>
      <c r="F6" s="14" t="s">
        <v>68</v>
      </c>
      <c r="G6" s="131">
        <v>0</v>
      </c>
      <c r="H6" s="19" t="s">
        <v>5</v>
      </c>
      <c r="I6" s="293" t="s">
        <v>60</v>
      </c>
      <c r="J6" s="294"/>
      <c r="M6" s="139"/>
      <c r="P6" s="18" t="s">
        <v>108</v>
      </c>
      <c r="Q6" s="20">
        <v>16000</v>
      </c>
      <c r="S6" s="246"/>
      <c r="T6" s="247"/>
      <c r="V6" s="227" t="s">
        <v>168</v>
      </c>
      <c r="W6">
        <v>167</v>
      </c>
      <c r="X6" s="94" t="s">
        <v>134</v>
      </c>
      <c r="Y6" s="182" t="s">
        <v>136</v>
      </c>
      <c r="Z6"/>
      <c r="AA6" s="183" t="s">
        <v>140</v>
      </c>
    </row>
    <row r="7" spans="4:27" ht="15" customHeight="1" x14ac:dyDescent="0.35">
      <c r="D7" s="154" t="s">
        <v>6</v>
      </c>
      <c r="F7" s="14" t="s">
        <v>69</v>
      </c>
      <c r="G7" s="131">
        <v>0</v>
      </c>
      <c r="H7" s="19" t="s">
        <v>8</v>
      </c>
      <c r="I7" s="248" t="s">
        <v>71</v>
      </c>
      <c r="J7" s="249"/>
      <c r="M7" s="139"/>
      <c r="P7" s="18" t="s">
        <v>109</v>
      </c>
      <c r="Q7" s="20">
        <v>13900</v>
      </c>
      <c r="T7" s="18"/>
      <c r="V7" s="227" t="s">
        <v>163</v>
      </c>
      <c r="W7">
        <v>220</v>
      </c>
      <c r="X7" s="94">
        <f>W7-W6</f>
        <v>53</v>
      </c>
      <c r="Y7" s="181">
        <f>(X7*100)/W12</f>
        <v>14.600550964187327</v>
      </c>
      <c r="Z7" s="229">
        <v>14.6</v>
      </c>
      <c r="AA7" s="184">
        <f>Y7/100</f>
        <v>0.14600550964187328</v>
      </c>
    </row>
    <row r="8" spans="4:27" ht="15" customHeight="1" x14ac:dyDescent="0.35">
      <c r="D8" s="155" t="s">
        <v>9</v>
      </c>
      <c r="F8" s="14" t="s">
        <v>73</v>
      </c>
      <c r="G8" s="131">
        <v>0</v>
      </c>
      <c r="H8" s="19" t="s">
        <v>11</v>
      </c>
      <c r="I8" s="133">
        <v>8</v>
      </c>
      <c r="J8" s="250" t="s">
        <v>72</v>
      </c>
      <c r="K8" s="247"/>
      <c r="L8" s="247"/>
      <c r="M8" s="251"/>
      <c r="N8"/>
      <c r="O8"/>
      <c r="P8" s="18" t="s">
        <v>110</v>
      </c>
      <c r="Q8" s="20">
        <v>15500</v>
      </c>
      <c r="T8" s="18"/>
      <c r="V8" s="227" t="s">
        <v>164</v>
      </c>
      <c r="W8">
        <v>317</v>
      </c>
      <c r="X8" s="94">
        <f t="shared" ref="X8:X11" si="0">W8-W7</f>
        <v>97</v>
      </c>
      <c r="Y8" s="181">
        <f>(X8*100)/W12</f>
        <v>26.721763085399449</v>
      </c>
      <c r="Z8" s="229">
        <v>28</v>
      </c>
      <c r="AA8" s="184">
        <f t="shared" ref="AA8:AA13" si="1">Y8/100</f>
        <v>0.26721763085399447</v>
      </c>
    </row>
    <row r="9" spans="4:27" ht="15" customHeight="1" thickBot="1" x14ac:dyDescent="0.4">
      <c r="D9" s="156" t="s">
        <v>179</v>
      </c>
      <c r="F9" s="14" t="s">
        <v>74</v>
      </c>
      <c r="G9" s="131">
        <v>0</v>
      </c>
      <c r="H9" s="19" t="s">
        <v>13</v>
      </c>
      <c r="I9" s="21">
        <f>VLOOKUP(I8,B29:D38,2,TRUE)</f>
        <v>9401</v>
      </c>
      <c r="J9" s="22"/>
      <c r="M9" s="139"/>
      <c r="P9" s="18" t="s">
        <v>111</v>
      </c>
      <c r="Q9" s="23">
        <v>15.5</v>
      </c>
      <c r="T9" s="18"/>
      <c r="V9" s="227" t="s">
        <v>165</v>
      </c>
      <c r="W9">
        <v>437</v>
      </c>
      <c r="X9" s="94">
        <f t="shared" si="0"/>
        <v>120</v>
      </c>
      <c r="Y9" s="181">
        <f>(X9*100)/W12</f>
        <v>33.057851239669418</v>
      </c>
      <c r="Z9" s="229">
        <v>34</v>
      </c>
      <c r="AA9" s="184">
        <f t="shared" si="1"/>
        <v>0.33057851239669417</v>
      </c>
    </row>
    <row r="10" spans="4:27" ht="15" customHeight="1" thickBot="1" x14ac:dyDescent="0.4">
      <c r="D10" s="31"/>
      <c r="F10" s="14" t="s">
        <v>75</v>
      </c>
      <c r="G10" s="131">
        <v>0</v>
      </c>
      <c r="H10" s="24" t="s">
        <v>15</v>
      </c>
      <c r="I10" s="25">
        <f>G4</f>
        <v>380</v>
      </c>
      <c r="J10" s="22"/>
      <c r="K10" s="26" t="s">
        <v>84</v>
      </c>
      <c r="M10" s="140" t="s">
        <v>85</v>
      </c>
      <c r="P10" s="18" t="s">
        <v>112</v>
      </c>
      <c r="Q10" s="20" t="s">
        <v>107</v>
      </c>
      <c r="V10" s="227" t="s">
        <v>166</v>
      </c>
      <c r="W10">
        <v>492</v>
      </c>
      <c r="X10" s="94">
        <f t="shared" si="0"/>
        <v>55</v>
      </c>
      <c r="Y10" s="181">
        <f>(X10*100)/W12</f>
        <v>15.151515151515152</v>
      </c>
      <c r="Z10" s="229">
        <v>15</v>
      </c>
      <c r="AA10" s="184">
        <f t="shared" si="1"/>
        <v>0.15151515151515152</v>
      </c>
    </row>
    <row r="11" spans="4:27" ht="15" customHeight="1" thickBot="1" x14ac:dyDescent="0.4">
      <c r="D11" s="290" t="s">
        <v>173</v>
      </c>
      <c r="E11" s="291"/>
      <c r="F11" s="14" t="s">
        <v>76</v>
      </c>
      <c r="G11" s="131">
        <v>0</v>
      </c>
      <c r="H11" s="29" t="s">
        <v>16</v>
      </c>
      <c r="I11" s="164">
        <f>I9+I10+G21</f>
        <v>9781</v>
      </c>
      <c r="J11" s="27"/>
      <c r="K11" s="211" t="s">
        <v>17</v>
      </c>
      <c r="L11" s="28"/>
      <c r="M11" s="186" t="s">
        <v>86</v>
      </c>
      <c r="P11" s="1" t="s">
        <v>155</v>
      </c>
      <c r="Q11" s="33" t="s">
        <v>156</v>
      </c>
      <c r="R11" s="33" t="s">
        <v>157</v>
      </c>
      <c r="T11" s="18"/>
      <c r="V11" s="227" t="s">
        <v>167</v>
      </c>
      <c r="W11">
        <v>530</v>
      </c>
      <c r="X11" s="94">
        <f t="shared" si="0"/>
        <v>38</v>
      </c>
      <c r="Y11" s="181">
        <f>(X11*100)/W12</f>
        <v>10.46831955922865</v>
      </c>
      <c r="Z11" s="229">
        <v>8.4</v>
      </c>
      <c r="AA11" s="184">
        <f t="shared" si="1"/>
        <v>0.1046831955922865</v>
      </c>
    </row>
    <row r="12" spans="4:27" ht="15" customHeight="1" thickBot="1" x14ac:dyDescent="0.35">
      <c r="D12" s="292"/>
      <c r="E12" s="291"/>
      <c r="F12" s="14" t="s">
        <v>77</v>
      </c>
      <c r="G12" s="174">
        <v>0</v>
      </c>
      <c r="H12" s="167" t="s">
        <v>122</v>
      </c>
      <c r="I12" s="168">
        <f>SUM(G6:G20)</f>
        <v>3750</v>
      </c>
      <c r="J12" s="22"/>
      <c r="K12" s="30">
        <f>I15-I16</f>
        <v>22</v>
      </c>
      <c r="L12" s="31"/>
      <c r="M12" s="141" t="s">
        <v>58</v>
      </c>
      <c r="N12" s="32"/>
      <c r="O12" s="32"/>
      <c r="P12" s="18" t="s">
        <v>105</v>
      </c>
      <c r="Q12" s="20" t="s">
        <v>154</v>
      </c>
      <c r="R12" s="33" t="s">
        <v>158</v>
      </c>
      <c r="S12" s="246"/>
      <c r="T12" s="247"/>
      <c r="V12" s="179" t="s">
        <v>135</v>
      </c>
      <c r="W12" s="227">
        <f>W11-W6</f>
        <v>363</v>
      </c>
      <c r="X12"/>
      <c r="Y12"/>
      <c r="Z12"/>
      <c r="AA12" s="184">
        <f t="shared" si="1"/>
        <v>0</v>
      </c>
    </row>
    <row r="13" spans="4:27" ht="15" customHeight="1" thickTop="1" thickBot="1" x14ac:dyDescent="0.4">
      <c r="D13" s="292"/>
      <c r="E13" s="291"/>
      <c r="F13" s="14" t="s">
        <v>78</v>
      </c>
      <c r="G13" s="131">
        <v>0</v>
      </c>
      <c r="H13" s="165" t="s">
        <v>18</v>
      </c>
      <c r="I13" s="166">
        <f>I11+I12</f>
        <v>13531</v>
      </c>
      <c r="J13" s="35" t="str">
        <f>IF((I13)&lt;ZFW,"ZFW OK","BAD ZFW")</f>
        <v>ZFW OK</v>
      </c>
      <c r="K13" s="36" t="s">
        <v>123</v>
      </c>
      <c r="M13" s="142">
        <f>12500-Take_Off_Wt.</f>
        <v>-3478</v>
      </c>
      <c r="P13" s="18" t="s">
        <v>113</v>
      </c>
      <c r="Q13" s="33" t="s">
        <v>106</v>
      </c>
      <c r="S13" s="37"/>
      <c r="T13" s="38"/>
      <c r="X13"/>
      <c r="Y13">
        <f>SUM(Y7:Y12)</f>
        <v>100</v>
      </c>
      <c r="Z13">
        <f>SUM(Z7:Z12)</f>
        <v>100</v>
      </c>
      <c r="AA13" s="184">
        <f t="shared" si="1"/>
        <v>1</v>
      </c>
    </row>
    <row r="14" spans="4:27" ht="15" customHeight="1" thickTop="1" x14ac:dyDescent="0.35">
      <c r="D14" s="292"/>
      <c r="E14" s="291"/>
      <c r="F14" s="14" t="s">
        <v>79</v>
      </c>
      <c r="G14" s="131">
        <v>0</v>
      </c>
      <c r="H14" s="39" t="s">
        <v>19</v>
      </c>
      <c r="I14" s="21">
        <f>G22</f>
        <v>2400</v>
      </c>
      <c r="J14" s="22"/>
      <c r="L14" s="40"/>
      <c r="M14" s="139"/>
      <c r="S14" s="41"/>
      <c r="T14" s="38"/>
      <c r="V14" s="5"/>
      <c r="W14" s="180"/>
    </row>
    <row r="15" spans="4:27" ht="15" customHeight="1" thickBot="1" x14ac:dyDescent="0.4">
      <c r="D15" s="292"/>
      <c r="E15" s="291"/>
      <c r="F15" s="14" t="s">
        <v>14</v>
      </c>
      <c r="G15" s="131">
        <v>0</v>
      </c>
      <c r="H15" s="42" t="s">
        <v>20</v>
      </c>
      <c r="I15" s="43">
        <f>Q6</f>
        <v>16000</v>
      </c>
      <c r="J15" s="216" t="s">
        <v>115</v>
      </c>
      <c r="K15" s="217"/>
      <c r="L15" s="218"/>
      <c r="M15" s="139"/>
      <c r="P15" s="256" t="s">
        <v>162</v>
      </c>
      <c r="Q15" s="257"/>
      <c r="S15" s="258"/>
      <c r="T15" s="259"/>
      <c r="U15" s="252"/>
      <c r="V15" s="247"/>
      <c r="W15" s="180"/>
    </row>
    <row r="16" spans="4:27" ht="15" customHeight="1" x14ac:dyDescent="0.35">
      <c r="D16" s="292"/>
      <c r="E16" s="291"/>
      <c r="F16" s="14" t="s">
        <v>130</v>
      </c>
      <c r="G16" s="132">
        <v>550</v>
      </c>
      <c r="H16" s="42" t="s">
        <v>22</v>
      </c>
      <c r="I16" s="47">
        <f>Q44</f>
        <v>15978</v>
      </c>
      <c r="J16" s="253" t="str">
        <f>IF(Take_Off_Wt.&lt;16000,"",I31)</f>
        <v/>
      </c>
      <c r="K16" s="254"/>
      <c r="L16" s="255"/>
      <c r="M16" s="213" t="s">
        <v>87</v>
      </c>
      <c r="P16" s="257"/>
      <c r="Q16" s="257"/>
      <c r="S16" s="259"/>
      <c r="T16" s="259"/>
      <c r="U16" s="247"/>
      <c r="V16" s="247"/>
      <c r="W16" s="180"/>
      <c r="X16" s="1" t="s">
        <v>179</v>
      </c>
    </row>
    <row r="17" spans="2:24" ht="15" customHeight="1" x14ac:dyDescent="0.35">
      <c r="D17" s="292"/>
      <c r="E17" s="291"/>
      <c r="F17" s="14" t="s">
        <v>131</v>
      </c>
      <c r="G17" s="132">
        <v>1250</v>
      </c>
      <c r="H17" s="42" t="s">
        <v>24</v>
      </c>
      <c r="I17" s="48">
        <f>IF(I16&lt;5201,D45,C45)</f>
        <v>261.89999999999998</v>
      </c>
      <c r="J17" s="49">
        <v>-277</v>
      </c>
      <c r="K17" s="50"/>
      <c r="L17" s="50"/>
      <c r="M17" s="214" t="str">
        <f>S63</f>
        <v>FWD MOM OK</v>
      </c>
      <c r="P17" s="257"/>
      <c r="Q17" s="257"/>
      <c r="S17" s="41"/>
      <c r="T17" s="41"/>
      <c r="V17" s="5"/>
      <c r="W17" s="180"/>
      <c r="X17" s="1" t="s">
        <v>180</v>
      </c>
    </row>
    <row r="18" spans="2:24" ht="15" customHeight="1" x14ac:dyDescent="0.35">
      <c r="D18" s="292"/>
      <c r="E18" s="291"/>
      <c r="F18" s="14" t="s">
        <v>132</v>
      </c>
      <c r="G18" s="132">
        <v>1250</v>
      </c>
      <c r="H18" s="42" t="s">
        <v>26</v>
      </c>
      <c r="I18" s="299">
        <f>R44</f>
        <v>276.83871573413444</v>
      </c>
      <c r="J18" s="294"/>
      <c r="K18" s="51" t="str">
        <f>IF(Take_Off_C.G.&lt;277,D64,"Bad CG")</f>
        <v>OK CG</v>
      </c>
      <c r="L18" s="52"/>
      <c r="M18" s="214" t="str">
        <f>R62</f>
        <v>FWD WT OK</v>
      </c>
      <c r="P18" s="257"/>
      <c r="Q18" s="257"/>
      <c r="T18" s="53"/>
      <c r="V18" s="6"/>
      <c r="W18" s="180"/>
    </row>
    <row r="19" spans="2:24" ht="15" customHeight="1" x14ac:dyDescent="0.35">
      <c r="D19" s="292"/>
      <c r="E19" s="291"/>
      <c r="F19" s="185" t="s">
        <v>160</v>
      </c>
      <c r="G19" s="132">
        <v>500</v>
      </c>
      <c r="H19" s="54" t="s">
        <v>148</v>
      </c>
      <c r="I19" s="55">
        <f>IF(Take_Off_Wt.&gt;Max_Ld_Wt.,I28,"No Limit")</f>
        <v>45.888000000000005</v>
      </c>
      <c r="J19" s="56" t="s">
        <v>27</v>
      </c>
      <c r="K19" s="9"/>
      <c r="M19" s="214" t="str">
        <f>S76</f>
        <v>AFT MOM OK</v>
      </c>
      <c r="P19" s="257"/>
      <c r="Q19" s="257"/>
      <c r="T19" s="57"/>
      <c r="V19" s="210"/>
      <c r="W19" s="2"/>
    </row>
    <row r="20" spans="2:24" ht="15" customHeight="1" x14ac:dyDescent="0.35">
      <c r="D20" s="292"/>
      <c r="E20" s="291"/>
      <c r="F20" s="185" t="s">
        <v>161</v>
      </c>
      <c r="G20" s="132">
        <v>200</v>
      </c>
      <c r="H20" s="54"/>
      <c r="I20" s="55"/>
      <c r="J20" s="225"/>
      <c r="M20" s="226"/>
      <c r="T20" s="57"/>
      <c r="V20" s="210"/>
      <c r="W20" s="2"/>
    </row>
    <row r="21" spans="2:24" ht="15" customHeight="1" thickBot="1" x14ac:dyDescent="0.35">
      <c r="D21" s="292"/>
      <c r="E21" s="291"/>
      <c r="F21" s="59" t="s">
        <v>83</v>
      </c>
      <c r="G21" s="131">
        <v>0</v>
      </c>
      <c r="H21" s="60" t="s">
        <v>28</v>
      </c>
      <c r="I21" s="61">
        <f>G22-((I5*J23)+(I4+45)*I22)</f>
        <v>117.08333333333348</v>
      </c>
      <c r="J21" s="62" t="s">
        <v>29</v>
      </c>
      <c r="K21" s="63" t="str">
        <f>IF(I21&gt;-1,"Fuel OK","More Fuel")</f>
        <v>Fuel OK</v>
      </c>
      <c r="L21" s="64"/>
      <c r="M21" s="215" t="str">
        <f>R75</f>
        <v>AFT WT OK</v>
      </c>
      <c r="P21" s="65" t="s">
        <v>33</v>
      </c>
      <c r="Q21" s="66" t="s">
        <v>34</v>
      </c>
      <c r="R21" s="66" t="s">
        <v>35</v>
      </c>
      <c r="S21" s="67" t="s">
        <v>36</v>
      </c>
      <c r="V21" s="2"/>
      <c r="W21" s="2"/>
    </row>
    <row r="22" spans="2:24" ht="15" customHeight="1" thickBot="1" x14ac:dyDescent="0.35">
      <c r="D22" s="145"/>
      <c r="E22" s="68"/>
      <c r="F22" s="230" t="s">
        <v>21</v>
      </c>
      <c r="G22" s="132">
        <v>2400</v>
      </c>
      <c r="H22" s="60" t="s">
        <v>30</v>
      </c>
      <c r="I22" s="134">
        <f>625/60</f>
        <v>10.416666666666666</v>
      </c>
      <c r="J22" s="69" t="s">
        <v>31</v>
      </c>
      <c r="K22" s="151">
        <f>(I5*J23)+(I4-(I5*25))*I22</f>
        <v>1293.3333333333333</v>
      </c>
      <c r="L22" s="285" t="s">
        <v>121</v>
      </c>
      <c r="M22" s="286"/>
      <c r="N22" s="70"/>
      <c r="O22" s="71"/>
      <c r="P22" s="72" t="s">
        <v>38</v>
      </c>
      <c r="Q22" s="73">
        <f>I9</f>
        <v>9401</v>
      </c>
      <c r="R22" s="74">
        <f>D44</f>
        <v>259.29145835549411</v>
      </c>
      <c r="S22" s="75">
        <f>Q22*R22</f>
        <v>2437599</v>
      </c>
    </row>
    <row r="23" spans="2:24" ht="15" customHeight="1" thickBot="1" x14ac:dyDescent="0.35">
      <c r="D23" s="146"/>
      <c r="E23" s="147"/>
      <c r="F23" s="231" t="s">
        <v>120</v>
      </c>
      <c r="G23" s="170">
        <f>G22/6.7</f>
        <v>358.20895522388059</v>
      </c>
      <c r="H23" s="147"/>
      <c r="I23" s="149" t="s">
        <v>32</v>
      </c>
      <c r="J23" s="150">
        <v>230</v>
      </c>
      <c r="K23" s="135"/>
      <c r="L23" s="152"/>
      <c r="M23" s="152"/>
      <c r="N23" s="76"/>
      <c r="O23" s="77"/>
      <c r="P23" s="72" t="s">
        <v>0</v>
      </c>
      <c r="Q23" s="73">
        <f t="shared" ref="Q23:Q39" si="2">G4</f>
        <v>380</v>
      </c>
      <c r="R23" s="78">
        <v>111</v>
      </c>
      <c r="S23" s="75">
        <f t="shared" ref="S23:S43" si="3">Q23*R23</f>
        <v>42180</v>
      </c>
    </row>
    <row r="24" spans="2:24" ht="15" customHeight="1" x14ac:dyDescent="0.3">
      <c r="F24" s="79" t="s">
        <v>25</v>
      </c>
      <c r="G24" s="80"/>
      <c r="P24" s="72" t="s">
        <v>67</v>
      </c>
      <c r="Q24" s="73">
        <f t="shared" si="2"/>
        <v>0</v>
      </c>
      <c r="R24" s="78">
        <v>148</v>
      </c>
      <c r="S24" s="75">
        <f t="shared" si="3"/>
        <v>0</v>
      </c>
    </row>
    <row r="25" spans="2:24" ht="15.75" thickBot="1" x14ac:dyDescent="0.35">
      <c r="G25" s="81"/>
      <c r="P25" s="72" t="s">
        <v>7</v>
      </c>
      <c r="Q25" s="73">
        <f t="shared" si="2"/>
        <v>0</v>
      </c>
      <c r="R25" s="78">
        <v>178</v>
      </c>
      <c r="S25" s="75">
        <f t="shared" si="3"/>
        <v>0</v>
      </c>
      <c r="U25" s="3"/>
      <c r="V25" s="4"/>
    </row>
    <row r="26" spans="2:24" ht="17.25" customHeight="1" thickTop="1" thickBot="1" x14ac:dyDescent="0.4">
      <c r="B26" s="239" t="s">
        <v>174</v>
      </c>
      <c r="C26" s="240"/>
      <c r="D26" s="240"/>
      <c r="E26" s="302" t="s">
        <v>177</v>
      </c>
      <c r="F26" s="303"/>
      <c r="G26" s="304"/>
      <c r="P26" s="72" t="s">
        <v>10</v>
      </c>
      <c r="Q26" s="73">
        <f t="shared" si="2"/>
        <v>0</v>
      </c>
      <c r="R26" s="78">
        <v>207</v>
      </c>
      <c r="S26" s="75">
        <f t="shared" si="3"/>
        <v>0</v>
      </c>
      <c r="U26" s="3"/>
      <c r="V26" s="4"/>
    </row>
    <row r="27" spans="2:24" ht="17.25" thickTop="1" x14ac:dyDescent="0.35">
      <c r="B27" s="305" t="s">
        <v>176</v>
      </c>
      <c r="C27" s="306"/>
      <c r="D27" s="306"/>
      <c r="E27" s="306"/>
      <c r="F27" s="306"/>
      <c r="G27" s="307"/>
      <c r="I27" s="300" t="s">
        <v>37</v>
      </c>
      <c r="J27" s="301"/>
      <c r="P27" s="72" t="s">
        <v>12</v>
      </c>
      <c r="Q27" s="73">
        <f t="shared" si="2"/>
        <v>0</v>
      </c>
      <c r="R27" s="78">
        <v>236</v>
      </c>
      <c r="S27" s="75">
        <f t="shared" si="3"/>
        <v>0</v>
      </c>
      <c r="U27" s="3"/>
      <c r="V27" s="4"/>
    </row>
    <row r="28" spans="2:24" ht="15" customHeight="1" thickBot="1" x14ac:dyDescent="0.4">
      <c r="B28" s="189" t="s">
        <v>143</v>
      </c>
      <c r="C28" s="241" t="s">
        <v>144</v>
      </c>
      <c r="D28" s="241" t="s">
        <v>59</v>
      </c>
      <c r="E28" s="190" t="s">
        <v>145</v>
      </c>
      <c r="G28" s="242"/>
      <c r="I28" s="266">
        <f>((Take_Off_Wt.-Max_Ld_Wt.)/I22)</f>
        <v>45.888000000000005</v>
      </c>
      <c r="J28" s="267"/>
      <c r="P28" s="72" t="s">
        <v>61</v>
      </c>
      <c r="Q28" s="73">
        <f t="shared" si="2"/>
        <v>0</v>
      </c>
      <c r="R28" s="78">
        <v>266</v>
      </c>
      <c r="S28" s="75">
        <f t="shared" si="3"/>
        <v>0</v>
      </c>
      <c r="U28" s="3"/>
      <c r="V28" s="4"/>
    </row>
    <row r="29" spans="2:24" ht="15" customHeight="1" thickBot="1" x14ac:dyDescent="0.35">
      <c r="B29" s="191">
        <v>1</v>
      </c>
      <c r="C29" s="236">
        <v>9192</v>
      </c>
      <c r="D29" s="192">
        <v>258.75</v>
      </c>
      <c r="E29" s="295" t="s">
        <v>100</v>
      </c>
      <c r="F29" s="296"/>
      <c r="G29" s="297"/>
      <c r="P29" s="72" t="s">
        <v>62</v>
      </c>
      <c r="Q29" s="73">
        <f t="shared" si="2"/>
        <v>0</v>
      </c>
      <c r="R29" s="78">
        <v>297</v>
      </c>
      <c r="S29" s="75">
        <f t="shared" si="3"/>
        <v>0</v>
      </c>
      <c r="U29" s="3"/>
      <c r="V29" s="4"/>
    </row>
    <row r="30" spans="2:24" ht="15" customHeight="1" x14ac:dyDescent="0.35">
      <c r="B30" s="193">
        <v>2</v>
      </c>
      <c r="C30" s="237">
        <v>9207</v>
      </c>
      <c r="D30" s="194">
        <v>258.56</v>
      </c>
      <c r="E30" s="298" t="s">
        <v>146</v>
      </c>
      <c r="F30" s="261"/>
      <c r="G30" s="262"/>
      <c r="I30" s="268" t="s">
        <v>116</v>
      </c>
      <c r="J30" s="269"/>
      <c r="P30" s="72" t="s">
        <v>63</v>
      </c>
      <c r="Q30" s="73">
        <f t="shared" si="2"/>
        <v>0</v>
      </c>
      <c r="R30" s="78">
        <v>328</v>
      </c>
      <c r="S30" s="75">
        <f t="shared" si="3"/>
        <v>0</v>
      </c>
      <c r="U30" s="3"/>
      <c r="V30" s="4"/>
    </row>
    <row r="31" spans="2:24" ht="15" customHeight="1" x14ac:dyDescent="0.3">
      <c r="B31" s="195">
        <v>3</v>
      </c>
      <c r="C31" s="238">
        <v>9147</v>
      </c>
      <c r="D31" s="196">
        <v>258.17962173390185</v>
      </c>
      <c r="E31" s="260" t="s">
        <v>175</v>
      </c>
      <c r="F31" s="261"/>
      <c r="G31" s="262"/>
      <c r="I31" s="270" t="str">
        <f>IF(Take_Off_Wt.&lt;16100,I33,"OVER GROSS WT!")</f>
        <v>!! BURN TAXI FUEL !!</v>
      </c>
      <c r="J31" s="271"/>
      <c r="K31" s="5" t="s">
        <v>117</v>
      </c>
      <c r="P31" s="72" t="s">
        <v>64</v>
      </c>
      <c r="Q31" s="73">
        <f t="shared" si="2"/>
        <v>0</v>
      </c>
      <c r="R31" s="78">
        <v>359</v>
      </c>
      <c r="S31" s="75">
        <f t="shared" si="3"/>
        <v>0</v>
      </c>
      <c r="U31" s="3"/>
      <c r="V31" s="4"/>
    </row>
    <row r="32" spans="2:24" ht="15" customHeight="1" x14ac:dyDescent="0.3">
      <c r="B32" s="195">
        <v>4</v>
      </c>
      <c r="C32" s="238">
        <v>9246</v>
      </c>
      <c r="D32" s="196">
        <v>258.48691325978803</v>
      </c>
      <c r="E32" s="260" t="s">
        <v>124</v>
      </c>
      <c r="F32" s="261"/>
      <c r="G32" s="262"/>
      <c r="I32" s="272">
        <f>16100-Take_Off_Wt.</f>
        <v>122</v>
      </c>
      <c r="J32" s="273"/>
      <c r="P32" s="72" t="s">
        <v>65</v>
      </c>
      <c r="Q32" s="73">
        <f t="shared" si="2"/>
        <v>0</v>
      </c>
      <c r="R32" s="78">
        <v>389</v>
      </c>
      <c r="S32" s="75">
        <f t="shared" si="3"/>
        <v>0</v>
      </c>
      <c r="U32" s="3"/>
      <c r="V32" s="4"/>
    </row>
    <row r="33" spans="2:22" ht="15" customHeight="1" thickBot="1" x14ac:dyDescent="0.35">
      <c r="B33" s="195">
        <v>5</v>
      </c>
      <c r="C33" s="238">
        <v>9308</v>
      </c>
      <c r="D33" s="196">
        <v>258.64020197679417</v>
      </c>
      <c r="E33" s="260" t="s">
        <v>101</v>
      </c>
      <c r="F33" s="261"/>
      <c r="G33" s="262"/>
      <c r="I33" s="274" t="s">
        <v>118</v>
      </c>
      <c r="J33" s="275"/>
      <c r="P33" s="72" t="s">
        <v>66</v>
      </c>
      <c r="Q33" s="73">
        <f t="shared" si="2"/>
        <v>0</v>
      </c>
      <c r="R33" s="228">
        <v>419</v>
      </c>
      <c r="S33" s="75">
        <f t="shared" si="3"/>
        <v>0</v>
      </c>
      <c r="U33" s="3"/>
      <c r="V33" s="4"/>
    </row>
    <row r="34" spans="2:22" ht="15" customHeight="1" x14ac:dyDescent="0.3">
      <c r="B34" s="195">
        <v>6</v>
      </c>
      <c r="C34" s="238">
        <v>9339</v>
      </c>
      <c r="D34" s="196">
        <v>258.98929221544063</v>
      </c>
      <c r="E34" s="260" t="s">
        <v>102</v>
      </c>
      <c r="F34" s="261"/>
      <c r="G34" s="262"/>
      <c r="P34" s="72" t="s">
        <v>45</v>
      </c>
      <c r="Q34" s="73">
        <f t="shared" si="2"/>
        <v>0</v>
      </c>
      <c r="R34" s="78">
        <v>42</v>
      </c>
      <c r="S34" s="75">
        <f t="shared" si="3"/>
        <v>0</v>
      </c>
      <c r="U34" s="3"/>
      <c r="V34" s="4"/>
    </row>
    <row r="35" spans="2:22" ht="15" customHeight="1" x14ac:dyDescent="0.3">
      <c r="B35" s="195">
        <v>7</v>
      </c>
      <c r="C35" s="238">
        <v>9370</v>
      </c>
      <c r="D35" s="196">
        <v>259.14087513340451</v>
      </c>
      <c r="E35" s="260" t="s">
        <v>103</v>
      </c>
      <c r="F35" s="261"/>
      <c r="G35" s="262"/>
      <c r="P35" s="72" t="s">
        <v>46</v>
      </c>
      <c r="Q35" s="73">
        <f t="shared" si="2"/>
        <v>550</v>
      </c>
      <c r="R35" s="78">
        <v>193.5</v>
      </c>
      <c r="S35" s="75">
        <f t="shared" si="3"/>
        <v>106425</v>
      </c>
      <c r="U35" s="3"/>
      <c r="V35" s="4"/>
    </row>
    <row r="36" spans="2:22" ht="14.1" customHeight="1" thickBot="1" x14ac:dyDescent="0.35">
      <c r="B36" s="243">
        <v>8</v>
      </c>
      <c r="C36" s="244">
        <v>9401</v>
      </c>
      <c r="D36" s="245">
        <v>259.29145835549411</v>
      </c>
      <c r="E36" s="287" t="s">
        <v>104</v>
      </c>
      <c r="F36" s="288"/>
      <c r="G36" s="289"/>
      <c r="H36" s="82"/>
      <c r="I36" s="57"/>
      <c r="P36" s="72" t="s">
        <v>47</v>
      </c>
      <c r="Q36" s="73">
        <f t="shared" si="2"/>
        <v>1250</v>
      </c>
      <c r="R36" s="78">
        <v>265</v>
      </c>
      <c r="S36" s="75">
        <f t="shared" si="3"/>
        <v>331250</v>
      </c>
      <c r="U36" s="3"/>
      <c r="V36" s="3"/>
    </row>
    <row r="37" spans="2:22" ht="14.1" customHeight="1" thickTop="1" x14ac:dyDescent="0.3">
      <c r="B37" s="203"/>
      <c r="C37" s="206"/>
      <c r="D37" s="207"/>
      <c r="E37" s="204"/>
      <c r="F37" s="205"/>
      <c r="G37" s="204"/>
      <c r="P37" s="72" t="s">
        <v>48</v>
      </c>
      <c r="Q37" s="73">
        <f t="shared" si="2"/>
        <v>1250</v>
      </c>
      <c r="R37" s="78">
        <v>370</v>
      </c>
      <c r="S37" s="75">
        <f t="shared" si="3"/>
        <v>462500</v>
      </c>
      <c r="U37" s="4"/>
      <c r="V37" s="3"/>
    </row>
    <row r="38" spans="2:22" ht="14.1" customHeight="1" x14ac:dyDescent="0.3">
      <c r="B38" s="197"/>
      <c r="C38" s="198"/>
      <c r="D38" s="199"/>
      <c r="E38" s="200"/>
      <c r="F38" s="201"/>
      <c r="G38" s="202"/>
      <c r="P38" s="72" t="s">
        <v>170</v>
      </c>
      <c r="Q38" s="73">
        <f t="shared" si="2"/>
        <v>500</v>
      </c>
      <c r="R38" s="78">
        <v>465</v>
      </c>
      <c r="S38" s="75">
        <f t="shared" ref="S38" si="4">Q38*R38</f>
        <v>232500</v>
      </c>
      <c r="U38" s="4"/>
      <c r="V38" s="3"/>
    </row>
    <row r="39" spans="2:22" ht="14.1" customHeight="1" x14ac:dyDescent="0.3">
      <c r="P39" s="72" t="s">
        <v>171</v>
      </c>
      <c r="Q39" s="73">
        <f t="shared" si="2"/>
        <v>200</v>
      </c>
      <c r="R39" s="78">
        <v>511</v>
      </c>
      <c r="S39" s="75">
        <f t="shared" si="3"/>
        <v>102200</v>
      </c>
      <c r="U39" s="4"/>
      <c r="V39" s="3"/>
    </row>
    <row r="40" spans="2:22" ht="14.1" customHeight="1" x14ac:dyDescent="0.3">
      <c r="P40" s="72" t="s">
        <v>81</v>
      </c>
      <c r="Q40" s="73">
        <f>IF(D9="Nose",47,0)</f>
        <v>0</v>
      </c>
      <c r="R40" s="83">
        <v>42</v>
      </c>
      <c r="S40" s="75">
        <f t="shared" si="3"/>
        <v>0</v>
      </c>
      <c r="T40" s="84"/>
      <c r="U40" s="4"/>
      <c r="V40" s="3"/>
    </row>
    <row r="41" spans="2:22" ht="14.1" customHeight="1" x14ac:dyDescent="0.3">
      <c r="P41" s="72" t="s">
        <v>82</v>
      </c>
      <c r="Q41" s="73">
        <f>IF(D9="Nose",0,47)</f>
        <v>47</v>
      </c>
      <c r="R41" s="83">
        <v>525</v>
      </c>
      <c r="S41" s="75">
        <f t="shared" si="3"/>
        <v>24675</v>
      </c>
      <c r="U41" s="4"/>
    </row>
    <row r="42" spans="2:22" ht="14.1" customHeight="1" x14ac:dyDescent="0.3">
      <c r="P42" s="72" t="s">
        <v>49</v>
      </c>
      <c r="Q42" s="73">
        <f>G21</f>
        <v>0</v>
      </c>
      <c r="R42" s="78">
        <v>21</v>
      </c>
      <c r="S42" s="75">
        <f t="shared" si="3"/>
        <v>0</v>
      </c>
      <c r="U42" s="4"/>
      <c r="V42" s="4"/>
    </row>
    <row r="43" spans="2:22" ht="14.1" customHeight="1" x14ac:dyDescent="0.3">
      <c r="C43" s="60" t="s">
        <v>39</v>
      </c>
      <c r="D43" s="20">
        <f>I9</f>
        <v>9401</v>
      </c>
      <c r="P43" s="72" t="s">
        <v>50</v>
      </c>
      <c r="Q43" s="73">
        <f>G22</f>
        <v>2400</v>
      </c>
      <c r="R43" s="78">
        <f>VLOOKUP(G22,L55:O97,4)</f>
        <v>285</v>
      </c>
      <c r="S43" s="75">
        <f t="shared" si="3"/>
        <v>684000</v>
      </c>
    </row>
    <row r="44" spans="2:22" ht="14.1" customHeight="1" x14ac:dyDescent="0.35">
      <c r="C44" s="60" t="s">
        <v>41</v>
      </c>
      <c r="D44" s="86">
        <f>VLOOKUP(I8,B29:D38,3,TRUE)</f>
        <v>259.29145835549411</v>
      </c>
      <c r="P44" s="87" t="s">
        <v>51</v>
      </c>
      <c r="Q44" s="88">
        <f>SUM(Q22:Q43)</f>
        <v>15978</v>
      </c>
      <c r="R44" s="89">
        <f>Loaded_Monent/Q44</f>
        <v>276.83871573413444</v>
      </c>
      <c r="S44" s="90">
        <f>SUM(S22:S43)</f>
        <v>4423329</v>
      </c>
      <c r="T44" s="85" t="s">
        <v>52</v>
      </c>
    </row>
    <row r="45" spans="2:22" ht="14.1" customHeight="1" x14ac:dyDescent="0.3">
      <c r="C45" s="2">
        <f t="shared" ref="C45:C76" si="5">IF(Take_Off_Wt.&lt;F47,G47,C46)</f>
        <v>261.89999999999998</v>
      </c>
      <c r="D45" s="2"/>
      <c r="F45" s="91" t="s">
        <v>40</v>
      </c>
      <c r="G45" s="91"/>
      <c r="H45" s="91"/>
    </row>
    <row r="46" spans="2:22" ht="14.1" customHeight="1" thickBot="1" x14ac:dyDescent="0.4">
      <c r="C46" s="2">
        <f t="shared" si="5"/>
        <v>261.89999999999998</v>
      </c>
      <c r="D46" s="2"/>
      <c r="F46" s="92" t="s">
        <v>42</v>
      </c>
      <c r="G46" s="92" t="s">
        <v>43</v>
      </c>
      <c r="H46" s="92" t="s">
        <v>44</v>
      </c>
      <c r="R46" s="93" t="s">
        <v>80</v>
      </c>
      <c r="S46" s="94"/>
    </row>
    <row r="47" spans="2:22" ht="14.1" customHeight="1" thickTop="1" thickBot="1" x14ac:dyDescent="0.4">
      <c r="C47" s="2">
        <f t="shared" si="5"/>
        <v>261.89999999999998</v>
      </c>
      <c r="D47" s="2"/>
      <c r="F47" s="95">
        <v>11000</v>
      </c>
      <c r="G47" s="96">
        <v>257</v>
      </c>
      <c r="H47" s="97">
        <v>277</v>
      </c>
      <c r="Q47" s="263" t="s">
        <v>96</v>
      </c>
      <c r="R47" s="276"/>
      <c r="S47" s="277"/>
    </row>
    <row r="48" spans="2:22" ht="14.1" customHeight="1" thickTop="1" x14ac:dyDescent="0.35">
      <c r="C48" s="2">
        <f t="shared" si="5"/>
        <v>261.89999999999998</v>
      </c>
      <c r="D48" s="2"/>
      <c r="F48" s="98">
        <v>11100</v>
      </c>
      <c r="G48" s="99">
        <v>257.10000000000002</v>
      </c>
      <c r="H48" s="100">
        <v>277</v>
      </c>
      <c r="P48" s="40" t="s">
        <v>88</v>
      </c>
      <c r="Q48" s="101" t="s">
        <v>89</v>
      </c>
      <c r="R48" s="101" t="s">
        <v>34</v>
      </c>
      <c r="S48" s="101" t="s">
        <v>90</v>
      </c>
    </row>
    <row r="49" spans="3:19" ht="14.1" customHeight="1" x14ac:dyDescent="0.3">
      <c r="C49" s="2">
        <f t="shared" si="5"/>
        <v>261.89999999999998</v>
      </c>
      <c r="D49" s="2"/>
      <c r="F49" s="98">
        <v>11200</v>
      </c>
      <c r="G49" s="99">
        <v>257.2</v>
      </c>
      <c r="H49" s="100">
        <v>277</v>
      </c>
      <c r="P49" s="18" t="s">
        <v>49</v>
      </c>
      <c r="Q49" s="102">
        <f>R42</f>
        <v>21</v>
      </c>
      <c r="R49" s="102">
        <f>Q42</f>
        <v>0</v>
      </c>
      <c r="S49" s="102">
        <f>(((Q49-274)*(R49))/1000)*-1</f>
        <v>0</v>
      </c>
    </row>
    <row r="50" spans="3:19" ht="14.1" customHeight="1" x14ac:dyDescent="0.3">
      <c r="C50" s="2">
        <f t="shared" si="5"/>
        <v>261.89999999999998</v>
      </c>
      <c r="D50" s="2"/>
      <c r="F50" s="98">
        <v>11300</v>
      </c>
      <c r="G50" s="99">
        <v>257.3</v>
      </c>
      <c r="H50" s="100">
        <v>277</v>
      </c>
      <c r="L50" s="102"/>
      <c r="P50" s="18" t="s">
        <v>6</v>
      </c>
      <c r="Q50" s="2">
        <v>42</v>
      </c>
      <c r="R50" s="102">
        <f>Q40</f>
        <v>0</v>
      </c>
      <c r="S50" s="102">
        <f t="shared" ref="S50:S59" si="6">(((Q50-274)*(R50))/1000)*-1</f>
        <v>0</v>
      </c>
    </row>
    <row r="51" spans="3:19" ht="14.1" customHeight="1" x14ac:dyDescent="0.3">
      <c r="C51" s="2">
        <f t="shared" si="5"/>
        <v>261.89999999999998</v>
      </c>
      <c r="D51" s="2"/>
      <c r="F51" s="98">
        <v>11400</v>
      </c>
      <c r="G51" s="99">
        <v>257.39999999999998</v>
      </c>
      <c r="H51" s="100">
        <v>277</v>
      </c>
      <c r="P51" s="18" t="s">
        <v>91</v>
      </c>
      <c r="Q51" s="2">
        <f>R34</f>
        <v>42</v>
      </c>
      <c r="R51" s="102">
        <f>Q34</f>
        <v>0</v>
      </c>
      <c r="S51" s="102">
        <f t="shared" si="6"/>
        <v>0</v>
      </c>
    </row>
    <row r="52" spans="3:19" ht="14.1" customHeight="1" x14ac:dyDescent="0.3">
      <c r="C52" s="2">
        <f t="shared" si="5"/>
        <v>261.89999999999998</v>
      </c>
      <c r="D52" s="2"/>
      <c r="F52" s="98">
        <v>11500</v>
      </c>
      <c r="G52" s="99">
        <v>257.5</v>
      </c>
      <c r="H52" s="100">
        <v>277</v>
      </c>
      <c r="L52" s="103" t="s">
        <v>53</v>
      </c>
      <c r="M52" s="104" t="str">
        <f>IF(I16&gt;14600,"Over Gross","Burn Taxi Fuel")</f>
        <v>Over Gross</v>
      </c>
      <c r="N52" s="104"/>
      <c r="O52" s="104"/>
      <c r="P52" s="18" t="s">
        <v>0</v>
      </c>
      <c r="Q52" s="102">
        <f t="shared" ref="Q52:Q57" si="7">R23</f>
        <v>111</v>
      </c>
      <c r="R52" s="102">
        <f t="shared" ref="R52:R57" si="8">Q23</f>
        <v>380</v>
      </c>
      <c r="S52" s="102">
        <f t="shared" si="6"/>
        <v>61.94</v>
      </c>
    </row>
    <row r="53" spans="3:19" ht="14.1" customHeight="1" x14ac:dyDescent="0.3">
      <c r="C53" s="2">
        <f t="shared" si="5"/>
        <v>261.89999999999998</v>
      </c>
      <c r="D53" s="2"/>
      <c r="F53" s="98">
        <v>11600</v>
      </c>
      <c r="G53" s="99">
        <v>257.60000000000002</v>
      </c>
      <c r="H53" s="100">
        <v>277</v>
      </c>
      <c r="M53" s="278" t="s">
        <v>55</v>
      </c>
      <c r="O53" s="280" t="s">
        <v>54</v>
      </c>
      <c r="P53" s="18" t="s">
        <v>4</v>
      </c>
      <c r="Q53" s="102">
        <f t="shared" si="7"/>
        <v>148</v>
      </c>
      <c r="R53" s="102">
        <f t="shared" si="8"/>
        <v>0</v>
      </c>
      <c r="S53" s="102">
        <f t="shared" si="6"/>
        <v>0</v>
      </c>
    </row>
    <row r="54" spans="3:19" ht="14.1" customHeight="1" x14ac:dyDescent="0.3">
      <c r="C54" s="2">
        <f t="shared" si="5"/>
        <v>261.89999999999998</v>
      </c>
      <c r="D54" s="2"/>
      <c r="F54" s="98">
        <v>11700</v>
      </c>
      <c r="G54" s="99">
        <v>257.7</v>
      </c>
      <c r="H54" s="100">
        <v>277</v>
      </c>
      <c r="K54" s="105"/>
      <c r="L54" s="106" t="s">
        <v>29</v>
      </c>
      <c r="M54" s="279"/>
      <c r="N54" s="107"/>
      <c r="O54" s="279"/>
      <c r="P54" s="18" t="s">
        <v>7</v>
      </c>
      <c r="Q54" s="2">
        <f t="shared" si="7"/>
        <v>178</v>
      </c>
      <c r="R54" s="102">
        <f t="shared" si="8"/>
        <v>0</v>
      </c>
      <c r="S54" s="102">
        <f t="shared" si="6"/>
        <v>0</v>
      </c>
    </row>
    <row r="55" spans="3:19" ht="14.1" customHeight="1" x14ac:dyDescent="0.3">
      <c r="C55" s="2">
        <f t="shared" si="5"/>
        <v>261.89999999999998</v>
      </c>
      <c r="D55" s="2"/>
      <c r="F55" s="98">
        <v>11800</v>
      </c>
      <c r="G55" s="99">
        <v>257.8</v>
      </c>
      <c r="H55" s="100">
        <v>277</v>
      </c>
      <c r="K55" s="108"/>
      <c r="L55" s="109">
        <v>100</v>
      </c>
      <c r="M55" s="110">
        <f t="shared" ref="M55:M97" si="9">L55/6.7</f>
        <v>14.925373134328359</v>
      </c>
      <c r="N55" s="110"/>
      <c r="O55" s="111">
        <v>293.90000000000003</v>
      </c>
      <c r="P55" s="18" t="s">
        <v>10</v>
      </c>
      <c r="Q55" s="2">
        <f t="shared" si="7"/>
        <v>207</v>
      </c>
      <c r="R55" s="102">
        <f t="shared" si="8"/>
        <v>0</v>
      </c>
      <c r="S55" s="102">
        <f t="shared" si="6"/>
        <v>0</v>
      </c>
    </row>
    <row r="56" spans="3:19" ht="14.1" customHeight="1" x14ac:dyDescent="0.3">
      <c r="C56" s="2">
        <f t="shared" si="5"/>
        <v>261.89999999999998</v>
      </c>
      <c r="D56" s="2"/>
      <c r="F56" s="98">
        <v>11900</v>
      </c>
      <c r="G56" s="99">
        <v>257.89999999999998</v>
      </c>
      <c r="H56" s="100">
        <v>277</v>
      </c>
      <c r="K56" s="108"/>
      <c r="L56" s="112">
        <v>200</v>
      </c>
      <c r="M56" s="113">
        <f t="shared" si="9"/>
        <v>29.850746268656717</v>
      </c>
      <c r="N56" s="110"/>
      <c r="O56" s="114">
        <v>293.60000000000002</v>
      </c>
      <c r="P56" s="18" t="s">
        <v>12</v>
      </c>
      <c r="Q56" s="2">
        <f t="shared" si="7"/>
        <v>236</v>
      </c>
      <c r="R56" s="102">
        <f t="shared" si="8"/>
        <v>0</v>
      </c>
      <c r="S56" s="102">
        <f t="shared" si="6"/>
        <v>0</v>
      </c>
    </row>
    <row r="57" spans="3:19" ht="14.1" customHeight="1" x14ac:dyDescent="0.3">
      <c r="C57" s="2">
        <f t="shared" si="5"/>
        <v>261.89999999999998</v>
      </c>
      <c r="D57" s="2"/>
      <c r="F57" s="98">
        <v>12000</v>
      </c>
      <c r="G57" s="99">
        <v>258</v>
      </c>
      <c r="H57" s="100">
        <v>277</v>
      </c>
      <c r="K57" s="108"/>
      <c r="L57" s="112">
        <v>300</v>
      </c>
      <c r="M57" s="113">
        <f t="shared" si="9"/>
        <v>44.776119402985074</v>
      </c>
      <c r="N57" s="113"/>
      <c r="O57" s="114">
        <v>293.3</v>
      </c>
      <c r="P57" s="18" t="s">
        <v>61</v>
      </c>
      <c r="Q57" s="2">
        <f t="shared" si="7"/>
        <v>266</v>
      </c>
      <c r="R57" s="102">
        <f t="shared" si="8"/>
        <v>0</v>
      </c>
      <c r="S57" s="102">
        <f t="shared" si="6"/>
        <v>0</v>
      </c>
    </row>
    <row r="58" spans="3:19" ht="14.1" customHeight="1" x14ac:dyDescent="0.3">
      <c r="C58" s="2">
        <f t="shared" si="5"/>
        <v>261.89999999999998</v>
      </c>
      <c r="D58" s="2"/>
      <c r="F58" s="98">
        <v>12100</v>
      </c>
      <c r="G58" s="99">
        <v>258.10000000000002</v>
      </c>
      <c r="H58" s="100">
        <v>277</v>
      </c>
      <c r="K58" s="108"/>
      <c r="L58" s="112">
        <v>400</v>
      </c>
      <c r="M58" s="113">
        <f t="shared" si="9"/>
        <v>59.701492537313435</v>
      </c>
      <c r="N58" s="113"/>
      <c r="O58" s="114">
        <v>293</v>
      </c>
      <c r="P58" s="18" t="s">
        <v>92</v>
      </c>
      <c r="Q58" s="2">
        <f>R35</f>
        <v>193.5</v>
      </c>
      <c r="R58" s="102">
        <f>Q35</f>
        <v>550</v>
      </c>
      <c r="S58" s="102">
        <f t="shared" si="6"/>
        <v>44.274999999999999</v>
      </c>
    </row>
    <row r="59" spans="3:19" ht="14.1" customHeight="1" thickBot="1" x14ac:dyDescent="0.35">
      <c r="C59" s="2">
        <f t="shared" si="5"/>
        <v>261.89999999999998</v>
      </c>
      <c r="D59" s="2"/>
      <c r="F59" s="98">
        <v>12200</v>
      </c>
      <c r="G59" s="99">
        <v>258.2</v>
      </c>
      <c r="H59" s="100">
        <v>277</v>
      </c>
      <c r="K59" s="108"/>
      <c r="L59" s="112">
        <v>500</v>
      </c>
      <c r="M59" s="113">
        <f t="shared" si="9"/>
        <v>74.626865671641795</v>
      </c>
      <c r="N59" s="113"/>
      <c r="O59" s="114">
        <f>AVERAGE(O58,O60)</f>
        <v>292.64999999999998</v>
      </c>
      <c r="P59" s="18" t="s">
        <v>93</v>
      </c>
      <c r="Q59" s="115">
        <f>R36</f>
        <v>265</v>
      </c>
      <c r="R59" s="116">
        <f>Q36</f>
        <v>1250</v>
      </c>
      <c r="S59" s="116">
        <f t="shared" si="6"/>
        <v>11.25</v>
      </c>
    </row>
    <row r="60" spans="3:19" ht="14.1" customHeight="1" thickTop="1" x14ac:dyDescent="0.35">
      <c r="C60" s="2">
        <f t="shared" si="5"/>
        <v>261.89999999999998</v>
      </c>
      <c r="D60" s="2"/>
      <c r="F60" s="98">
        <v>12300</v>
      </c>
      <c r="G60" s="99">
        <v>258.3</v>
      </c>
      <c r="H60" s="100">
        <v>277</v>
      </c>
      <c r="K60" s="108"/>
      <c r="L60" s="112">
        <v>600</v>
      </c>
      <c r="M60" s="113">
        <f t="shared" si="9"/>
        <v>89.552238805970148</v>
      </c>
      <c r="N60" s="113"/>
      <c r="O60" s="114">
        <v>292.3</v>
      </c>
      <c r="P60" s="18"/>
      <c r="Q60" s="1" t="s">
        <v>94</v>
      </c>
      <c r="R60" s="117">
        <f>SUM(R49:R59)</f>
        <v>2180</v>
      </c>
      <c r="S60" s="118">
        <f>SUM(S49:S59)</f>
        <v>117.465</v>
      </c>
    </row>
    <row r="61" spans="3:19" ht="14.1" customHeight="1" thickBot="1" x14ac:dyDescent="0.4">
      <c r="C61" s="2">
        <f t="shared" si="5"/>
        <v>261.89999999999998</v>
      </c>
      <c r="D61" s="2"/>
      <c r="F61" s="98">
        <v>12400</v>
      </c>
      <c r="G61" s="99">
        <v>258.39999999999998</v>
      </c>
      <c r="H61" s="100">
        <v>277</v>
      </c>
      <c r="K61" s="108"/>
      <c r="L61" s="112">
        <v>700</v>
      </c>
      <c r="M61" s="113">
        <f t="shared" si="9"/>
        <v>104.4776119402985</v>
      </c>
      <c r="N61" s="113"/>
      <c r="O61" s="114">
        <f>AVERAGE(O60,O62)</f>
        <v>291.85000000000002</v>
      </c>
      <c r="P61" s="18"/>
      <c r="Q61" s="1" t="s">
        <v>95</v>
      </c>
      <c r="R61" s="119">
        <v>2825</v>
      </c>
      <c r="S61" s="119">
        <v>359.8</v>
      </c>
    </row>
    <row r="62" spans="3:19" ht="14.1" customHeight="1" thickTop="1" x14ac:dyDescent="0.3">
      <c r="C62" s="2">
        <f t="shared" si="5"/>
        <v>261.89999999999998</v>
      </c>
      <c r="D62" s="2"/>
      <c r="F62" s="98">
        <v>12500</v>
      </c>
      <c r="G62" s="99">
        <v>258.5</v>
      </c>
      <c r="H62" s="100">
        <v>277</v>
      </c>
      <c r="K62" s="108"/>
      <c r="L62" s="112">
        <v>800</v>
      </c>
      <c r="M62" s="113">
        <f t="shared" si="9"/>
        <v>119.40298507462687</v>
      </c>
      <c r="N62" s="113"/>
      <c r="O62" s="114">
        <v>291.40000000000003</v>
      </c>
      <c r="P62" s="18"/>
      <c r="R62" s="26" t="str">
        <f>IF(R60&gt;R61, "FWD WT BAD", "FWD WT OK")</f>
        <v>FWD WT OK</v>
      </c>
    </row>
    <row r="63" spans="3:19" ht="14.1" customHeight="1" thickBot="1" x14ac:dyDescent="0.35">
      <c r="C63" s="2">
        <f t="shared" si="5"/>
        <v>261.89999999999998</v>
      </c>
      <c r="D63" s="2"/>
      <c r="F63" s="98">
        <v>12600</v>
      </c>
      <c r="G63" s="99">
        <v>258.60000000000002</v>
      </c>
      <c r="H63" s="100">
        <v>277</v>
      </c>
      <c r="K63" s="108"/>
      <c r="L63" s="112">
        <v>900</v>
      </c>
      <c r="M63" s="113">
        <f t="shared" si="9"/>
        <v>134.32835820895522</v>
      </c>
      <c r="N63" s="113"/>
      <c r="O63" s="114">
        <f>AVERAGE(O62,O64)</f>
        <v>290.95000000000005</v>
      </c>
      <c r="P63" s="18"/>
      <c r="R63" s="26"/>
      <c r="S63" s="26" t="str">
        <f>IF(S60&gt;S61, "FWD MOM BAD", "FWD MOM OK")</f>
        <v>FWD MOM OK</v>
      </c>
    </row>
    <row r="64" spans="3:19" ht="14.1" customHeight="1" thickTop="1" thickBot="1" x14ac:dyDescent="0.4">
      <c r="C64" s="2">
        <f t="shared" si="5"/>
        <v>261.89999999999998</v>
      </c>
      <c r="D64" s="1" t="str">
        <f>IF(I18&lt;I17,"C.G. Not OK","OK CG")</f>
        <v>OK CG</v>
      </c>
      <c r="F64" s="98">
        <v>12700</v>
      </c>
      <c r="G64" s="99">
        <v>258.7</v>
      </c>
      <c r="H64" s="100">
        <v>277</v>
      </c>
      <c r="K64" s="108"/>
      <c r="L64" s="112">
        <v>1000</v>
      </c>
      <c r="M64" s="113">
        <f t="shared" si="9"/>
        <v>149.25373134328359</v>
      </c>
      <c r="N64" s="113"/>
      <c r="O64" s="114">
        <v>290.5</v>
      </c>
      <c r="Q64" s="263" t="s">
        <v>97</v>
      </c>
      <c r="R64" s="264"/>
      <c r="S64" s="265"/>
    </row>
    <row r="65" spans="3:19" ht="14.1" customHeight="1" thickTop="1" x14ac:dyDescent="0.35">
      <c r="C65" s="2">
        <f t="shared" si="5"/>
        <v>261.89999999999998</v>
      </c>
      <c r="F65" s="98">
        <v>12800</v>
      </c>
      <c r="G65" s="99">
        <v>258.8</v>
      </c>
      <c r="H65" s="100">
        <v>277</v>
      </c>
      <c r="K65" s="108"/>
      <c r="L65" s="112">
        <v>1100</v>
      </c>
      <c r="M65" s="113">
        <f t="shared" si="9"/>
        <v>164.17910447761193</v>
      </c>
      <c r="N65" s="113"/>
      <c r="O65" s="114">
        <f>AVERAGE(O64,O66)</f>
        <v>290.05</v>
      </c>
      <c r="P65" s="40" t="s">
        <v>88</v>
      </c>
      <c r="Q65" s="101" t="s">
        <v>89</v>
      </c>
      <c r="R65" s="101" t="s">
        <v>34</v>
      </c>
      <c r="S65" s="101" t="s">
        <v>90</v>
      </c>
    </row>
    <row r="66" spans="3:19" ht="14.1" customHeight="1" x14ac:dyDescent="0.3">
      <c r="C66" s="2">
        <f t="shared" si="5"/>
        <v>261.89999999999998</v>
      </c>
      <c r="F66" s="98">
        <v>12900</v>
      </c>
      <c r="G66" s="99">
        <v>258.89999999999998</v>
      </c>
      <c r="H66" s="100">
        <v>277</v>
      </c>
      <c r="K66" s="108"/>
      <c r="L66" s="112">
        <v>1200</v>
      </c>
      <c r="M66" s="113">
        <f t="shared" si="9"/>
        <v>179.1044776119403</v>
      </c>
      <c r="N66" s="113"/>
      <c r="O66" s="114">
        <v>289.60000000000002</v>
      </c>
      <c r="P66" s="120" t="s">
        <v>63</v>
      </c>
      <c r="Q66" s="102">
        <v>328</v>
      </c>
      <c r="R66" s="102">
        <f>Q58</f>
        <v>193.5</v>
      </c>
      <c r="S66" s="102">
        <f t="shared" ref="S66:S72" si="10">(((Q66-274)*(R66))/1000)</f>
        <v>10.449</v>
      </c>
    </row>
    <row r="67" spans="3:19" ht="14.1" customHeight="1" x14ac:dyDescent="0.3">
      <c r="C67" s="2">
        <f t="shared" si="5"/>
        <v>261.89999999999998</v>
      </c>
      <c r="F67" s="98">
        <v>13000</v>
      </c>
      <c r="G67" s="99">
        <v>259</v>
      </c>
      <c r="H67" s="100">
        <v>277</v>
      </c>
      <c r="K67" s="108"/>
      <c r="L67" s="112">
        <v>1300</v>
      </c>
      <c r="M67" s="113">
        <f t="shared" si="9"/>
        <v>194.02985074626866</v>
      </c>
      <c r="N67" s="113"/>
      <c r="O67" s="114">
        <f>AVERAGE(O66,O68)</f>
        <v>289.14999999999998</v>
      </c>
      <c r="P67" s="120" t="s">
        <v>64</v>
      </c>
      <c r="Q67" s="2">
        <v>359</v>
      </c>
      <c r="R67" s="102">
        <f>Q51</f>
        <v>42</v>
      </c>
      <c r="S67" s="102">
        <f t="shared" si="10"/>
        <v>3.57</v>
      </c>
    </row>
    <row r="68" spans="3:19" ht="14.1" customHeight="1" x14ac:dyDescent="0.3">
      <c r="C68" s="2">
        <f t="shared" si="5"/>
        <v>261.89999999999998</v>
      </c>
      <c r="F68" s="98">
        <v>13100</v>
      </c>
      <c r="G68" s="99">
        <v>259.10000000000002</v>
      </c>
      <c r="H68" s="100">
        <v>277</v>
      </c>
      <c r="K68" s="108"/>
      <c r="L68" s="112">
        <v>1400</v>
      </c>
      <c r="M68" s="113">
        <f t="shared" si="9"/>
        <v>208.955223880597</v>
      </c>
      <c r="N68" s="113"/>
      <c r="O68" s="114">
        <v>288.7</v>
      </c>
      <c r="P68" s="120" t="s">
        <v>65</v>
      </c>
      <c r="Q68" s="102">
        <v>389</v>
      </c>
      <c r="R68" s="102">
        <f>Q39</f>
        <v>200</v>
      </c>
      <c r="S68" s="102">
        <f t="shared" si="10"/>
        <v>23</v>
      </c>
    </row>
    <row r="69" spans="3:19" ht="14.1" customHeight="1" x14ac:dyDescent="0.3">
      <c r="C69" s="2">
        <f t="shared" si="5"/>
        <v>261.89999999999998</v>
      </c>
      <c r="F69" s="98">
        <v>13200</v>
      </c>
      <c r="G69" s="99">
        <v>259.2</v>
      </c>
      <c r="H69" s="100">
        <v>277</v>
      </c>
      <c r="K69" s="108"/>
      <c r="L69" s="112">
        <v>1500</v>
      </c>
      <c r="M69" s="113">
        <f t="shared" si="9"/>
        <v>223.88059701492537</v>
      </c>
      <c r="N69" s="113"/>
      <c r="O69" s="114">
        <f>AVERAGE(O68,O70)</f>
        <v>288.25</v>
      </c>
      <c r="P69" s="120" t="s">
        <v>66</v>
      </c>
      <c r="Q69" s="102">
        <v>419</v>
      </c>
      <c r="R69" s="102">
        <f>Q40</f>
        <v>0</v>
      </c>
      <c r="S69" s="102">
        <f t="shared" si="10"/>
        <v>0</v>
      </c>
    </row>
    <row r="70" spans="3:19" ht="14.1" customHeight="1" x14ac:dyDescent="0.3">
      <c r="C70" s="2">
        <f t="shared" si="5"/>
        <v>261.89999999999998</v>
      </c>
      <c r="F70" s="98">
        <v>13300</v>
      </c>
      <c r="G70" s="99">
        <v>259.3</v>
      </c>
      <c r="H70" s="100">
        <v>277</v>
      </c>
      <c r="K70" s="108"/>
      <c r="L70" s="112">
        <v>1600</v>
      </c>
      <c r="M70" s="113">
        <f t="shared" si="9"/>
        <v>238.80597014925374</v>
      </c>
      <c r="N70" s="113"/>
      <c r="O70" s="114">
        <v>287.8</v>
      </c>
      <c r="P70" s="18" t="s">
        <v>98</v>
      </c>
      <c r="Q70" s="2">
        <f>R37</f>
        <v>370</v>
      </c>
      <c r="R70" s="102">
        <f>Q37</f>
        <v>1250</v>
      </c>
      <c r="S70" s="102">
        <f t="shared" si="10"/>
        <v>120</v>
      </c>
    </row>
    <row r="71" spans="3:19" ht="14.1" customHeight="1" x14ac:dyDescent="0.3">
      <c r="C71" s="2">
        <f t="shared" si="5"/>
        <v>261.89999999999998</v>
      </c>
      <c r="F71" s="98">
        <v>13400</v>
      </c>
      <c r="G71" s="99">
        <v>259.39999999999998</v>
      </c>
      <c r="H71" s="100">
        <v>277</v>
      </c>
      <c r="K71" s="108"/>
      <c r="L71" s="112">
        <v>1700</v>
      </c>
      <c r="M71" s="113">
        <f t="shared" si="9"/>
        <v>253.73134328358208</v>
      </c>
      <c r="N71" s="113"/>
      <c r="O71" s="114">
        <f>AVERAGE(O70,O72)</f>
        <v>287.39999999999998</v>
      </c>
      <c r="P71" s="18" t="s">
        <v>99</v>
      </c>
      <c r="Q71" s="2">
        <f>R39</f>
        <v>511</v>
      </c>
      <c r="R71" s="102">
        <f>Q39</f>
        <v>200</v>
      </c>
      <c r="S71" s="102">
        <f t="shared" si="10"/>
        <v>47.4</v>
      </c>
    </row>
    <row r="72" spans="3:19" ht="14.1" customHeight="1" thickBot="1" x14ac:dyDescent="0.35">
      <c r="C72" s="2">
        <f t="shared" si="5"/>
        <v>261.89999999999998</v>
      </c>
      <c r="F72" s="98">
        <v>13500</v>
      </c>
      <c r="G72" s="99">
        <v>259.5</v>
      </c>
      <c r="H72" s="100">
        <v>277</v>
      </c>
      <c r="K72" s="108"/>
      <c r="L72" s="112">
        <v>1800</v>
      </c>
      <c r="M72" s="113">
        <f t="shared" si="9"/>
        <v>268.65671641791045</v>
      </c>
      <c r="N72" s="113"/>
      <c r="O72" s="114">
        <v>287</v>
      </c>
      <c r="P72" s="18" t="s">
        <v>6</v>
      </c>
      <c r="Q72" s="115">
        <f>R41</f>
        <v>525</v>
      </c>
      <c r="R72" s="116">
        <f>Q41</f>
        <v>47</v>
      </c>
      <c r="S72" s="116">
        <f t="shared" si="10"/>
        <v>11.797000000000001</v>
      </c>
    </row>
    <row r="73" spans="3:19" ht="14.1" customHeight="1" thickTop="1" x14ac:dyDescent="0.35">
      <c r="C73" s="2">
        <f t="shared" si="5"/>
        <v>261.89999999999998</v>
      </c>
      <c r="F73" s="98">
        <v>13600</v>
      </c>
      <c r="G73" s="99">
        <v>259.60000000000002</v>
      </c>
      <c r="H73" s="100">
        <v>277</v>
      </c>
      <c r="K73" s="108"/>
      <c r="L73" s="112">
        <v>1900</v>
      </c>
      <c r="M73" s="113">
        <f t="shared" si="9"/>
        <v>283.58208955223881</v>
      </c>
      <c r="N73" s="113"/>
      <c r="O73" s="114">
        <f>AVERAGE(O72,O74)</f>
        <v>286.64999999999998</v>
      </c>
      <c r="Q73" s="1" t="s">
        <v>94</v>
      </c>
      <c r="R73" s="118">
        <f>SUM(R66:R72)</f>
        <v>1932.5</v>
      </c>
      <c r="S73" s="118">
        <f>SUM(S66:S72)</f>
        <v>216.21600000000001</v>
      </c>
    </row>
    <row r="74" spans="3:19" ht="14.1" customHeight="1" thickBot="1" x14ac:dyDescent="0.4">
      <c r="C74" s="2">
        <f t="shared" si="5"/>
        <v>261.89999999999998</v>
      </c>
      <c r="F74" s="98">
        <v>13700</v>
      </c>
      <c r="G74" s="99">
        <v>259.7</v>
      </c>
      <c r="H74" s="100">
        <v>277</v>
      </c>
      <c r="K74" s="108"/>
      <c r="L74" s="112">
        <v>2000</v>
      </c>
      <c r="M74" s="113">
        <f t="shared" si="9"/>
        <v>298.50746268656718</v>
      </c>
      <c r="N74" s="113"/>
      <c r="O74" s="114">
        <v>286.3</v>
      </c>
      <c r="Q74" s="1" t="s">
        <v>95</v>
      </c>
      <c r="R74" s="119">
        <v>3138</v>
      </c>
      <c r="S74" s="119">
        <v>352.6</v>
      </c>
    </row>
    <row r="75" spans="3:19" ht="14.1" customHeight="1" thickTop="1" x14ac:dyDescent="0.3">
      <c r="C75" s="2">
        <f t="shared" si="5"/>
        <v>261.89999999999998</v>
      </c>
      <c r="F75" s="98">
        <v>13800</v>
      </c>
      <c r="G75" s="99">
        <v>259.8</v>
      </c>
      <c r="H75" s="100">
        <v>277</v>
      </c>
      <c r="K75" s="108"/>
      <c r="L75" s="112">
        <v>2100</v>
      </c>
      <c r="M75" s="113">
        <f t="shared" si="9"/>
        <v>313.43283582089549</v>
      </c>
      <c r="N75" s="113"/>
      <c r="O75" s="114">
        <f>AVERAGE(O74,O76)</f>
        <v>285.95000000000005</v>
      </c>
      <c r="R75" s="26" t="str">
        <f>IF(R73&gt;R74, "AFT WT BAD", "AFT WT OK")</f>
        <v>AFT WT OK</v>
      </c>
    </row>
    <row r="76" spans="3:19" ht="14.1" customHeight="1" x14ac:dyDescent="0.3">
      <c r="C76" s="2">
        <f t="shared" si="5"/>
        <v>261.89999999999998</v>
      </c>
      <c r="F76" s="98">
        <v>13900</v>
      </c>
      <c r="G76" s="99">
        <v>259.89999999999998</v>
      </c>
      <c r="H76" s="100">
        <v>277</v>
      </c>
      <c r="K76" s="108"/>
      <c r="L76" s="112">
        <v>2200</v>
      </c>
      <c r="M76" s="113">
        <f t="shared" si="9"/>
        <v>328.35820895522386</v>
      </c>
      <c r="N76" s="113"/>
      <c r="O76" s="114">
        <v>285.60000000000002</v>
      </c>
      <c r="R76" s="26"/>
      <c r="S76" s="26" t="str">
        <f>IF(S73&gt;S74, "AFT MOM BAD", "AFT MOM OK")</f>
        <v>AFT MOM OK</v>
      </c>
    </row>
    <row r="77" spans="3:19" ht="14.1" customHeight="1" x14ac:dyDescent="0.3">
      <c r="C77" s="2">
        <f t="shared" ref="C77:C99" si="11">IF(Take_Off_Wt.&lt;F79,G79,C78)</f>
        <v>261.89999999999998</v>
      </c>
      <c r="F77" s="98">
        <v>14000</v>
      </c>
      <c r="G77" s="99">
        <v>260</v>
      </c>
      <c r="H77" s="100">
        <v>277</v>
      </c>
      <c r="K77" s="108"/>
      <c r="L77" s="112">
        <v>2300</v>
      </c>
      <c r="M77" s="113">
        <f t="shared" si="9"/>
        <v>343.28358208955223</v>
      </c>
      <c r="N77" s="113"/>
      <c r="O77" s="114">
        <f>AVERAGE(O76,O78)</f>
        <v>285.3</v>
      </c>
    </row>
    <row r="78" spans="3:19" ht="14.1" customHeight="1" x14ac:dyDescent="0.3">
      <c r="C78" s="2">
        <f t="shared" si="11"/>
        <v>261.89999999999998</v>
      </c>
      <c r="F78" s="98">
        <v>14100</v>
      </c>
      <c r="G78" s="99">
        <v>260.14</v>
      </c>
      <c r="H78" s="100">
        <v>277</v>
      </c>
      <c r="K78" s="108"/>
      <c r="L78" s="112">
        <v>2400</v>
      </c>
      <c r="M78" s="113">
        <f t="shared" si="9"/>
        <v>358.20895522388059</v>
      </c>
      <c r="N78" s="113"/>
      <c r="O78" s="114">
        <v>285</v>
      </c>
    </row>
    <row r="79" spans="3:19" ht="14.1" customHeight="1" x14ac:dyDescent="0.3">
      <c r="C79" s="2">
        <f t="shared" si="11"/>
        <v>261.89999999999998</v>
      </c>
      <c r="F79" s="98">
        <v>14200</v>
      </c>
      <c r="G79" s="99">
        <v>260.28000000000003</v>
      </c>
      <c r="H79" s="100">
        <v>277</v>
      </c>
      <c r="K79" s="108"/>
      <c r="L79" s="112">
        <v>2500</v>
      </c>
      <c r="M79" s="113">
        <f t="shared" si="9"/>
        <v>373.13432835820896</v>
      </c>
      <c r="N79" s="113"/>
      <c r="O79" s="114">
        <f>AVERAGE(O78,O80)</f>
        <v>284.70000000000005</v>
      </c>
    </row>
    <row r="80" spans="3:19" ht="14.1" customHeight="1" x14ac:dyDescent="0.3">
      <c r="C80" s="2">
        <f t="shared" si="11"/>
        <v>261.89999999999998</v>
      </c>
      <c r="F80" s="98">
        <v>14300</v>
      </c>
      <c r="G80" s="99">
        <v>260.42</v>
      </c>
      <c r="H80" s="100">
        <v>277</v>
      </c>
      <c r="K80" s="108"/>
      <c r="L80" s="112">
        <v>2600</v>
      </c>
      <c r="M80" s="113">
        <f t="shared" si="9"/>
        <v>388.05970149253733</v>
      </c>
      <c r="N80" s="113"/>
      <c r="O80" s="114">
        <v>284.40000000000003</v>
      </c>
    </row>
    <row r="81" spans="3:15" ht="14.1" customHeight="1" x14ac:dyDescent="0.3">
      <c r="C81" s="2">
        <f t="shared" si="11"/>
        <v>261.89999999999998</v>
      </c>
      <c r="F81" s="98">
        <v>14400</v>
      </c>
      <c r="G81" s="99">
        <v>260.56</v>
      </c>
      <c r="H81" s="100">
        <v>277</v>
      </c>
      <c r="K81" s="108"/>
      <c r="L81" s="112">
        <v>2700</v>
      </c>
      <c r="M81" s="113">
        <f t="shared" si="9"/>
        <v>402.98507462686564</v>
      </c>
      <c r="N81" s="113"/>
      <c r="O81" s="114">
        <f>AVERAGE(O80,O82)</f>
        <v>284.15000000000003</v>
      </c>
    </row>
    <row r="82" spans="3:15" ht="14.1" customHeight="1" x14ac:dyDescent="0.3">
      <c r="C82" s="2">
        <f t="shared" si="11"/>
        <v>261.89999999999998</v>
      </c>
      <c r="F82" s="98">
        <v>14500</v>
      </c>
      <c r="G82" s="99">
        <v>260.7</v>
      </c>
      <c r="H82" s="100">
        <v>277</v>
      </c>
      <c r="K82" s="108"/>
      <c r="L82" s="112">
        <v>2800</v>
      </c>
      <c r="M82" s="113">
        <f t="shared" si="9"/>
        <v>417.91044776119401</v>
      </c>
      <c r="N82" s="113"/>
      <c r="O82" s="114">
        <v>283.90000000000003</v>
      </c>
    </row>
    <row r="83" spans="3:15" ht="14.1" customHeight="1" x14ac:dyDescent="0.3">
      <c r="C83" s="2">
        <f t="shared" si="11"/>
        <v>261.89999999999998</v>
      </c>
      <c r="F83" s="98">
        <v>14600</v>
      </c>
      <c r="G83" s="99">
        <v>260.78000000000003</v>
      </c>
      <c r="H83" s="100">
        <v>277</v>
      </c>
      <c r="K83" s="108"/>
      <c r="L83" s="112">
        <v>2900</v>
      </c>
      <c r="M83" s="113">
        <f t="shared" si="9"/>
        <v>432.83582089552237</v>
      </c>
      <c r="N83" s="113"/>
      <c r="O83" s="114">
        <f>AVERAGE(O82,O84)</f>
        <v>283.70000000000005</v>
      </c>
    </row>
    <row r="84" spans="3:15" ht="14.1" customHeight="1" x14ac:dyDescent="0.3">
      <c r="C84" s="2">
        <f t="shared" si="11"/>
        <v>261.89999999999998</v>
      </c>
      <c r="F84" s="98">
        <v>14700</v>
      </c>
      <c r="G84" s="99">
        <v>260.86</v>
      </c>
      <c r="H84" s="100">
        <v>277</v>
      </c>
      <c r="K84" s="108"/>
      <c r="L84" s="112">
        <v>3000</v>
      </c>
      <c r="M84" s="113">
        <f t="shared" si="9"/>
        <v>447.76119402985074</v>
      </c>
      <c r="N84" s="113"/>
      <c r="O84" s="114">
        <v>283.5</v>
      </c>
    </row>
    <row r="85" spans="3:15" ht="14.1" customHeight="1" x14ac:dyDescent="0.3">
      <c r="C85" s="2">
        <f t="shared" si="11"/>
        <v>261.89999999999998</v>
      </c>
      <c r="F85" s="98">
        <v>14800</v>
      </c>
      <c r="G85" s="99">
        <v>260.94</v>
      </c>
      <c r="H85" s="100">
        <v>277</v>
      </c>
      <c r="K85" s="108"/>
      <c r="L85" s="112">
        <v>3100</v>
      </c>
      <c r="M85" s="113">
        <f t="shared" si="9"/>
        <v>462.68656716417911</v>
      </c>
      <c r="N85" s="113"/>
      <c r="O85" s="114">
        <f>AVERAGE(O84,O86)</f>
        <v>283.25</v>
      </c>
    </row>
    <row r="86" spans="3:15" ht="14.1" customHeight="1" x14ac:dyDescent="0.3">
      <c r="C86" s="2">
        <f t="shared" si="11"/>
        <v>261.89999999999998</v>
      </c>
      <c r="F86" s="98">
        <v>14900</v>
      </c>
      <c r="G86" s="99">
        <v>261.02</v>
      </c>
      <c r="H86" s="100">
        <v>277</v>
      </c>
      <c r="K86" s="108"/>
      <c r="L86" s="112">
        <v>3200</v>
      </c>
      <c r="M86" s="113">
        <f t="shared" si="9"/>
        <v>477.61194029850748</v>
      </c>
      <c r="N86" s="113"/>
      <c r="O86" s="114">
        <v>283</v>
      </c>
    </row>
    <row r="87" spans="3:15" ht="14.1" customHeight="1" x14ac:dyDescent="0.3">
      <c r="C87" s="2">
        <f t="shared" si="11"/>
        <v>261.89999999999998</v>
      </c>
      <c r="F87" s="98">
        <v>15000</v>
      </c>
      <c r="G87" s="99">
        <v>261.10000000000002</v>
      </c>
      <c r="H87" s="100">
        <v>277</v>
      </c>
      <c r="K87" s="108"/>
      <c r="L87" s="112">
        <v>3300</v>
      </c>
      <c r="M87" s="113">
        <f t="shared" si="9"/>
        <v>492.53731343283579</v>
      </c>
      <c r="N87" s="113"/>
      <c r="O87" s="114">
        <f>AVERAGE(O86,O88)</f>
        <v>282.8</v>
      </c>
    </row>
    <row r="88" spans="3:15" ht="14.1" customHeight="1" x14ac:dyDescent="0.3">
      <c r="C88" s="2">
        <f t="shared" si="11"/>
        <v>261.89999999999998</v>
      </c>
      <c r="F88" s="98">
        <v>15100</v>
      </c>
      <c r="G88" s="99">
        <v>261.18</v>
      </c>
      <c r="H88" s="100">
        <v>277</v>
      </c>
      <c r="K88" s="108"/>
      <c r="L88" s="112">
        <v>3400</v>
      </c>
      <c r="M88" s="113">
        <f t="shared" si="9"/>
        <v>507.46268656716416</v>
      </c>
      <c r="N88" s="113"/>
      <c r="O88" s="114">
        <v>282.60000000000002</v>
      </c>
    </row>
    <row r="89" spans="3:15" ht="14.1" customHeight="1" x14ac:dyDescent="0.3">
      <c r="C89" s="2">
        <f t="shared" si="11"/>
        <v>261.89999999999998</v>
      </c>
      <c r="F89" s="98">
        <v>15200</v>
      </c>
      <c r="G89" s="99">
        <v>261.26</v>
      </c>
      <c r="H89" s="100">
        <v>277</v>
      </c>
      <c r="K89" s="108"/>
      <c r="L89" s="112">
        <v>3500</v>
      </c>
      <c r="M89" s="113">
        <f t="shared" si="9"/>
        <v>522.38805970149258</v>
      </c>
      <c r="N89" s="113"/>
      <c r="O89" s="114">
        <f>AVERAGE(O88,O90)</f>
        <v>282.45000000000005</v>
      </c>
    </row>
    <row r="90" spans="3:15" ht="14.1" customHeight="1" x14ac:dyDescent="0.3">
      <c r="C90" s="2">
        <f t="shared" si="11"/>
        <v>261.89999999999998</v>
      </c>
      <c r="F90" s="98">
        <v>15300</v>
      </c>
      <c r="G90" s="99">
        <v>261.34000000000003</v>
      </c>
      <c r="H90" s="100">
        <v>277</v>
      </c>
      <c r="K90" s="108"/>
      <c r="L90" s="112">
        <v>3600</v>
      </c>
      <c r="M90" s="113">
        <f t="shared" si="9"/>
        <v>537.31343283582089</v>
      </c>
      <c r="N90" s="113"/>
      <c r="O90" s="114">
        <v>282.3</v>
      </c>
    </row>
    <row r="91" spans="3:15" ht="14.1" customHeight="1" x14ac:dyDescent="0.3">
      <c r="C91" s="2">
        <f t="shared" si="11"/>
        <v>261.89999999999998</v>
      </c>
      <c r="F91" s="98">
        <v>15400</v>
      </c>
      <c r="G91" s="99">
        <v>261.42</v>
      </c>
      <c r="H91" s="100">
        <v>277</v>
      </c>
      <c r="K91" s="108"/>
      <c r="L91" s="112">
        <v>3700</v>
      </c>
      <c r="M91" s="113">
        <f t="shared" si="9"/>
        <v>552.2388059701492</v>
      </c>
      <c r="N91" s="113"/>
      <c r="O91" s="114">
        <f>AVERAGE(O90,O92)</f>
        <v>282.14999999999998</v>
      </c>
    </row>
    <row r="92" spans="3:15" ht="14.1" customHeight="1" x14ac:dyDescent="0.3">
      <c r="C92" s="2">
        <f t="shared" si="11"/>
        <v>261.89999999999998</v>
      </c>
      <c r="F92" s="98">
        <v>15500</v>
      </c>
      <c r="G92" s="99">
        <v>261.5</v>
      </c>
      <c r="H92" s="100">
        <v>277</v>
      </c>
      <c r="K92" s="108"/>
      <c r="L92" s="112">
        <v>3800</v>
      </c>
      <c r="M92" s="113">
        <f t="shared" si="9"/>
        <v>567.16417910447763</v>
      </c>
      <c r="N92" s="113"/>
      <c r="O92" s="114">
        <v>282</v>
      </c>
    </row>
    <row r="93" spans="3:15" ht="14.1" customHeight="1" x14ac:dyDescent="0.3">
      <c r="C93" s="2">
        <f t="shared" si="11"/>
        <v>261.89999999999998</v>
      </c>
      <c r="F93" s="98">
        <v>15600</v>
      </c>
      <c r="G93" s="99">
        <v>261.58</v>
      </c>
      <c r="H93" s="100">
        <v>277</v>
      </c>
      <c r="K93" s="108"/>
      <c r="L93" s="112">
        <v>3900</v>
      </c>
      <c r="M93" s="113">
        <f t="shared" si="9"/>
        <v>582.08955223880594</v>
      </c>
      <c r="N93" s="113"/>
      <c r="O93" s="114">
        <f>AVERAGE(O92,O94)</f>
        <v>281.85000000000002</v>
      </c>
    </row>
    <row r="94" spans="3:15" ht="14.1" customHeight="1" x14ac:dyDescent="0.3">
      <c r="C94" s="2">
        <f t="shared" si="11"/>
        <v>261.89999999999998</v>
      </c>
      <c r="F94" s="98">
        <v>15700</v>
      </c>
      <c r="G94" s="99">
        <v>261.66000000000003</v>
      </c>
      <c r="H94" s="100">
        <v>277</v>
      </c>
      <c r="K94" s="108"/>
      <c r="L94" s="112">
        <v>4000</v>
      </c>
      <c r="M94" s="113">
        <f t="shared" si="9"/>
        <v>597.01492537313436</v>
      </c>
      <c r="N94" s="110"/>
      <c r="O94" s="114">
        <v>281.7</v>
      </c>
    </row>
    <row r="95" spans="3:15" ht="14.1" customHeight="1" x14ac:dyDescent="0.3">
      <c r="C95" s="2">
        <f t="shared" si="11"/>
        <v>261.89999999999998</v>
      </c>
      <c r="F95" s="98">
        <v>15800</v>
      </c>
      <c r="G95" s="99">
        <v>261.74</v>
      </c>
      <c r="H95" s="100">
        <v>277</v>
      </c>
      <c r="K95" s="108"/>
      <c r="L95" s="112">
        <v>4100</v>
      </c>
      <c r="M95" s="113">
        <f t="shared" si="9"/>
        <v>611.94029850746267</v>
      </c>
      <c r="N95" s="113"/>
      <c r="O95" s="114">
        <f>AVERAGE(O94,O96)</f>
        <v>281.55</v>
      </c>
    </row>
    <row r="96" spans="3:15" ht="14.1" customHeight="1" x14ac:dyDescent="0.3">
      <c r="C96" s="2">
        <f t="shared" si="11"/>
        <v>261.98</v>
      </c>
      <c r="F96" s="98">
        <v>15900</v>
      </c>
      <c r="G96" s="99">
        <v>261.82</v>
      </c>
      <c r="H96" s="100">
        <v>277</v>
      </c>
      <c r="K96" s="108"/>
      <c r="L96" s="112">
        <v>4200</v>
      </c>
      <c r="M96" s="113">
        <f t="shared" si="9"/>
        <v>626.86567164179098</v>
      </c>
      <c r="N96" s="121"/>
      <c r="O96" s="114">
        <v>281.40000000000003</v>
      </c>
    </row>
    <row r="97" spans="3:15" ht="14.1" customHeight="1" x14ac:dyDescent="0.3">
      <c r="C97" s="2">
        <f t="shared" si="11"/>
        <v>262.06</v>
      </c>
      <c r="F97" s="98">
        <v>16000</v>
      </c>
      <c r="G97" s="99">
        <v>261.89999999999998</v>
      </c>
      <c r="H97" s="100">
        <v>277</v>
      </c>
      <c r="K97" s="108"/>
      <c r="L97" s="112">
        <v>4342</v>
      </c>
      <c r="M97" s="125">
        <f t="shared" si="9"/>
        <v>648.05970149253733</v>
      </c>
      <c r="N97" s="126"/>
      <c r="O97" s="114">
        <v>281.3</v>
      </c>
    </row>
    <row r="98" spans="3:15" ht="14.1" customHeight="1" x14ac:dyDescent="0.3">
      <c r="C98" s="2">
        <f t="shared" si="11"/>
        <v>262.14</v>
      </c>
      <c r="F98" s="122">
        <v>16100</v>
      </c>
      <c r="G98" s="123">
        <v>261.98</v>
      </c>
      <c r="H98" s="124">
        <v>277</v>
      </c>
      <c r="K98" s="127" t="s">
        <v>56</v>
      </c>
      <c r="L98" s="128">
        <v>4400</v>
      </c>
      <c r="M98" s="129">
        <f>L98/6.8</f>
        <v>647.05882352941182</v>
      </c>
      <c r="N98" s="126"/>
      <c r="O98" s="130">
        <v>281.3</v>
      </c>
    </row>
    <row r="99" spans="3:15" ht="14.1" customHeight="1" x14ac:dyDescent="0.3">
      <c r="C99" s="2">
        <f t="shared" si="11"/>
        <v>262.22000000000003</v>
      </c>
      <c r="F99" s="122">
        <v>16200</v>
      </c>
      <c r="G99" s="123">
        <v>262.06</v>
      </c>
      <c r="H99" s="124">
        <v>277</v>
      </c>
      <c r="K99" s="127" t="s">
        <v>57</v>
      </c>
      <c r="L99" s="112">
        <v>4600</v>
      </c>
      <c r="M99" s="125">
        <f>L99/7.1</f>
        <v>647.88732394366195</v>
      </c>
      <c r="N99" s="126"/>
      <c r="O99" s="130">
        <v>281.3</v>
      </c>
    </row>
    <row r="100" spans="3:15" ht="14.1" customHeight="1" x14ac:dyDescent="0.3">
      <c r="C100" s="2">
        <f>IF(Take_Off_Wt.&lt;F102,G102,#REF!)</f>
        <v>262.3</v>
      </c>
      <c r="F100" s="122">
        <v>16300</v>
      </c>
      <c r="G100" s="123">
        <v>262.14</v>
      </c>
      <c r="H100" s="124">
        <v>277</v>
      </c>
    </row>
    <row r="101" spans="3:15" ht="14.1" customHeight="1" x14ac:dyDescent="0.3">
      <c r="F101" s="122">
        <v>16400</v>
      </c>
      <c r="G101" s="123">
        <v>262.22000000000003</v>
      </c>
      <c r="H101" s="124">
        <v>277</v>
      </c>
    </row>
    <row r="102" spans="3:15" ht="14.1" customHeight="1" x14ac:dyDescent="0.3">
      <c r="F102" s="122">
        <v>16500</v>
      </c>
      <c r="G102" s="123">
        <v>262.3</v>
      </c>
      <c r="H102" s="124">
        <v>277</v>
      </c>
    </row>
    <row r="103" spans="3:15" ht="14.1" customHeight="1" x14ac:dyDescent="0.3"/>
    <row r="104" spans="3:15" ht="14.1" customHeight="1" x14ac:dyDescent="0.3"/>
    <row r="105" spans="3:15" ht="14.1" customHeight="1" x14ac:dyDescent="0.3"/>
    <row r="106" spans="3:15" ht="14.1" customHeight="1" x14ac:dyDescent="0.3"/>
    <row r="107" spans="3:15" ht="14.1" customHeight="1" x14ac:dyDescent="0.3"/>
    <row r="108" spans="3:15" ht="14.1" customHeight="1" x14ac:dyDescent="0.3"/>
    <row r="109" spans="3:15" ht="14.1" customHeight="1" x14ac:dyDescent="0.3"/>
    <row r="110" spans="3:15" ht="14.1" customHeight="1" x14ac:dyDescent="0.3"/>
    <row r="111" spans="3:15" ht="14.1" customHeight="1" x14ac:dyDescent="0.3"/>
    <row r="112" spans="3:15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  <row r="124" ht="14.1" customHeight="1" x14ac:dyDescent="0.3"/>
    <row r="125" ht="14.1" customHeight="1" x14ac:dyDescent="0.3"/>
    <row r="126" ht="14.1" customHeight="1" x14ac:dyDescent="0.3"/>
    <row r="127" ht="14.1" customHeight="1" x14ac:dyDescent="0.3"/>
    <row r="128" ht="14.1" customHeight="1" x14ac:dyDescent="0.3"/>
    <row r="129" ht="14.1" customHeight="1" x14ac:dyDescent="0.3"/>
    <row r="130" ht="14.1" customHeight="1" x14ac:dyDescent="0.3"/>
    <row r="131" ht="14.1" customHeight="1" x14ac:dyDescent="0.3"/>
    <row r="132" ht="14.1" customHeight="1" x14ac:dyDescent="0.3"/>
    <row r="133" ht="14.1" customHeight="1" x14ac:dyDescent="0.3"/>
    <row r="134" ht="14.1" customHeight="1" x14ac:dyDescent="0.3"/>
    <row r="135" ht="14.1" customHeight="1" x14ac:dyDescent="0.3"/>
    <row r="136" ht="14.1" customHeight="1" x14ac:dyDescent="0.3"/>
    <row r="137" ht="14.1" customHeight="1" x14ac:dyDescent="0.3"/>
    <row r="138" ht="14.1" customHeight="1" x14ac:dyDescent="0.3"/>
    <row r="139" ht="14.1" customHeight="1" x14ac:dyDescent="0.3"/>
    <row r="140" ht="14.1" customHeight="1" x14ac:dyDescent="0.3"/>
    <row r="141" ht="14.1" customHeight="1" x14ac:dyDescent="0.3"/>
    <row r="142" ht="14.1" customHeight="1" x14ac:dyDescent="0.3"/>
    <row r="143" ht="14.1" customHeight="1" x14ac:dyDescent="0.3"/>
    <row r="144" ht="14.1" customHeight="1" x14ac:dyDescent="0.3"/>
    <row r="145" ht="14.1" customHeight="1" x14ac:dyDescent="0.3"/>
    <row r="146" ht="14.1" customHeight="1" x14ac:dyDescent="0.3"/>
    <row r="147" ht="14.1" customHeight="1" x14ac:dyDescent="0.3"/>
    <row r="148" ht="14.1" customHeight="1" x14ac:dyDescent="0.3"/>
    <row r="149" ht="14.1" customHeight="1" x14ac:dyDescent="0.3"/>
    <row r="150" ht="14.1" customHeight="1" x14ac:dyDescent="0.3"/>
    <row r="151" ht="14.1" customHeight="1" x14ac:dyDescent="0.3"/>
    <row r="152" ht="14.1" customHeight="1" x14ac:dyDescent="0.3"/>
    <row r="153" ht="14.1" customHeight="1" x14ac:dyDescent="0.3"/>
    <row r="154" ht="14.1" customHeight="1" x14ac:dyDescent="0.3"/>
    <row r="155" ht="14.1" customHeight="1" x14ac:dyDescent="0.3"/>
    <row r="156" ht="14.1" customHeight="1" x14ac:dyDescent="0.3"/>
    <row r="157" ht="14.1" customHeight="1" x14ac:dyDescent="0.3"/>
    <row r="158" ht="14.1" customHeight="1" x14ac:dyDescent="0.3"/>
    <row r="159" ht="14.1" customHeight="1" x14ac:dyDescent="0.3"/>
    <row r="160" ht="14.1" customHeight="1" x14ac:dyDescent="0.3"/>
    <row r="161" ht="14.1" customHeight="1" x14ac:dyDescent="0.3"/>
    <row r="162" ht="14.1" customHeight="1" x14ac:dyDescent="0.3"/>
    <row r="163" ht="14.1" customHeight="1" x14ac:dyDescent="0.3"/>
    <row r="164" ht="14.1" customHeight="1" x14ac:dyDescent="0.3"/>
    <row r="165" ht="14.1" customHeight="1" x14ac:dyDescent="0.3"/>
    <row r="166" ht="14.1" customHeight="1" x14ac:dyDescent="0.3"/>
    <row r="167" ht="14.1" customHeight="1" x14ac:dyDescent="0.3"/>
    <row r="168" ht="14.1" customHeight="1" x14ac:dyDescent="0.3"/>
    <row r="169" ht="14.1" customHeight="1" x14ac:dyDescent="0.3"/>
    <row r="170" ht="14.1" customHeight="1" x14ac:dyDescent="0.3"/>
    <row r="171" ht="14.1" customHeight="1" x14ac:dyDescent="0.3"/>
    <row r="172" ht="14.1" customHeight="1" x14ac:dyDescent="0.3"/>
    <row r="173" ht="14.1" customHeight="1" x14ac:dyDescent="0.3"/>
    <row r="174" ht="14.1" customHeight="1" x14ac:dyDescent="0.3"/>
    <row r="175" ht="14.1" customHeight="1" x14ac:dyDescent="0.3"/>
    <row r="176" ht="14.1" customHeight="1" x14ac:dyDescent="0.3"/>
    <row r="177" ht="14.1" customHeight="1" x14ac:dyDescent="0.3"/>
    <row r="178" ht="14.1" customHeight="1" x14ac:dyDescent="0.3"/>
    <row r="179" ht="14.1" customHeight="1" x14ac:dyDescent="0.3"/>
    <row r="180" ht="14.1" customHeight="1" x14ac:dyDescent="0.3"/>
    <row r="181" ht="14.1" customHeight="1" x14ac:dyDescent="0.3"/>
    <row r="182" ht="14.1" customHeight="1" x14ac:dyDescent="0.3"/>
    <row r="183" ht="14.1" customHeight="1" x14ac:dyDescent="0.3"/>
    <row r="184" ht="14.1" customHeight="1" x14ac:dyDescent="0.3"/>
    <row r="185" ht="14.1" customHeight="1" x14ac:dyDescent="0.3"/>
    <row r="186" ht="14.1" customHeight="1" x14ac:dyDescent="0.3"/>
    <row r="187" ht="14.1" customHeight="1" x14ac:dyDescent="0.3"/>
    <row r="188" ht="14.1" customHeight="1" x14ac:dyDescent="0.3"/>
    <row r="189" ht="14.1" customHeight="1" x14ac:dyDescent="0.3"/>
    <row r="190" ht="14.1" customHeight="1" x14ac:dyDescent="0.3"/>
    <row r="191" ht="14.1" customHeight="1" x14ac:dyDescent="0.3"/>
    <row r="192" ht="14.1" customHeight="1" x14ac:dyDescent="0.3"/>
    <row r="193" ht="14.1" customHeight="1" x14ac:dyDescent="0.3"/>
    <row r="194" ht="14.1" customHeight="1" x14ac:dyDescent="0.3"/>
    <row r="195" ht="14.1" customHeight="1" x14ac:dyDescent="0.3"/>
    <row r="196" ht="14.1" customHeight="1" x14ac:dyDescent="0.3"/>
    <row r="197" ht="14.1" customHeight="1" x14ac:dyDescent="0.3"/>
    <row r="198" ht="14.1" customHeight="1" x14ac:dyDescent="0.3"/>
    <row r="199" ht="14.1" customHeight="1" x14ac:dyDescent="0.3"/>
    <row r="200" ht="14.1" customHeight="1" x14ac:dyDescent="0.3"/>
    <row r="201" ht="14.1" customHeight="1" x14ac:dyDescent="0.3"/>
    <row r="202" ht="14.1" customHeight="1" x14ac:dyDescent="0.3"/>
    <row r="203" ht="14.1" customHeight="1" x14ac:dyDescent="0.3"/>
    <row r="204" ht="14.1" customHeight="1" x14ac:dyDescent="0.3"/>
    <row r="205" ht="14.1" customHeight="1" x14ac:dyDescent="0.3"/>
    <row r="206" ht="14.1" customHeight="1" x14ac:dyDescent="0.3"/>
    <row r="207" ht="14.1" customHeight="1" x14ac:dyDescent="0.3"/>
    <row r="208" ht="14.1" customHeight="1" x14ac:dyDescent="0.3"/>
    <row r="209" ht="14.1" customHeight="1" x14ac:dyDescent="0.3"/>
    <row r="210" ht="14.1" customHeight="1" x14ac:dyDescent="0.3"/>
    <row r="211" ht="14.1" customHeight="1" x14ac:dyDescent="0.3"/>
    <row r="212" ht="14.1" customHeight="1" x14ac:dyDescent="0.3"/>
    <row r="213" ht="14.1" customHeight="1" x14ac:dyDescent="0.3"/>
    <row r="214" ht="14.1" customHeight="1" x14ac:dyDescent="0.3"/>
    <row r="215" ht="14.1" customHeight="1" x14ac:dyDescent="0.3"/>
    <row r="216" ht="14.1" customHeight="1" x14ac:dyDescent="0.3"/>
    <row r="217" ht="14.1" customHeight="1" x14ac:dyDescent="0.3"/>
    <row r="218" ht="14.1" customHeight="1" x14ac:dyDescent="0.3"/>
    <row r="219" ht="14.1" customHeight="1" x14ac:dyDescent="0.3"/>
    <row r="220" ht="14.1" customHeight="1" x14ac:dyDescent="0.3"/>
    <row r="221" ht="14.1" customHeight="1" x14ac:dyDescent="0.3"/>
    <row r="222" ht="14.1" customHeight="1" x14ac:dyDescent="0.3"/>
    <row r="223" ht="14.1" customHeight="1" x14ac:dyDescent="0.3"/>
    <row r="224" ht="14.1" customHeight="1" x14ac:dyDescent="0.3"/>
    <row r="225" ht="14.1" customHeight="1" x14ac:dyDescent="0.3"/>
    <row r="226" ht="14.1" customHeight="1" x14ac:dyDescent="0.3"/>
  </sheetData>
  <sheetProtection sheet="1" objects="1" scenarios="1"/>
  <customSheetViews>
    <customSheetView guid="{4F507386-4E6B-4875-9561-87445ECB3559}" showGridLines="0" fitToPage="1">
      <selection activeCell="AA29" sqref="AA29"/>
      <pageMargins left="0.75" right="0.75" top="1" bottom="1" header="0.5" footer="0.5"/>
      <printOptions gridLines="1"/>
      <pageSetup orientation="landscape" r:id="rId1"/>
      <headerFooter alignWithMargins="0"/>
    </customSheetView>
    <customSheetView guid="{AF11E29A-50E1-4A26-95AE-CA01C1F61192}" showGridLines="0" fitToPage="1">
      <selection activeCell="AA29" sqref="AA29"/>
      <pageMargins left="0.75" right="0.75" top="1" bottom="1" header="0.5" footer="0.5"/>
      <printOptions gridLines="1"/>
      <pageSetup orientation="landscape" r:id="rId2"/>
      <headerFooter alignWithMargins="0"/>
    </customSheetView>
  </customSheetViews>
  <mergeCells count="34">
    <mergeCell ref="K4:L4"/>
    <mergeCell ref="K5:L5"/>
    <mergeCell ref="L22:M22"/>
    <mergeCell ref="E35:G35"/>
    <mergeCell ref="E36:G36"/>
    <mergeCell ref="D11:E21"/>
    <mergeCell ref="I6:J6"/>
    <mergeCell ref="E29:G29"/>
    <mergeCell ref="E30:G30"/>
    <mergeCell ref="E31:G31"/>
    <mergeCell ref="E32:G32"/>
    <mergeCell ref="E33:G33"/>
    <mergeCell ref="I18:J18"/>
    <mergeCell ref="I27:J27"/>
    <mergeCell ref="E26:G26"/>
    <mergeCell ref="B27:G27"/>
    <mergeCell ref="E34:G34"/>
    <mergeCell ref="Q64:S64"/>
    <mergeCell ref="I28:J28"/>
    <mergeCell ref="I30:J30"/>
    <mergeCell ref="I31:J31"/>
    <mergeCell ref="I32:J32"/>
    <mergeCell ref="I33:J33"/>
    <mergeCell ref="Q47:S47"/>
    <mergeCell ref="M53:M54"/>
    <mergeCell ref="O53:O54"/>
    <mergeCell ref="S6:T6"/>
    <mergeCell ref="I7:J7"/>
    <mergeCell ref="J8:M8"/>
    <mergeCell ref="S12:T12"/>
    <mergeCell ref="U15:V16"/>
    <mergeCell ref="J16:L16"/>
    <mergeCell ref="P15:Q19"/>
    <mergeCell ref="S15:T16"/>
  </mergeCells>
  <dataValidations count="1">
    <dataValidation type="list" showInputMessage="1" showErrorMessage="1" promptTitle="S/G Location" prompt="Please select from the list" sqref="D9" xr:uid="{07BCFBF6-B2B5-41E3-894E-7CE61E55D324}">
      <formula1>$X$16:$X$17</formula1>
    </dataValidation>
  </dataValidations>
  <printOptions gridLines="1"/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N175SW Pax loads</vt:lpstr>
      <vt:lpstr>N175SW Equal Distb Cargo</vt:lpstr>
      <vt:lpstr>N175SW All areas</vt:lpstr>
      <vt:lpstr>'N175SW All areas'!Even_Distb_Ld</vt:lpstr>
      <vt:lpstr>Even_Distb_Ld</vt:lpstr>
      <vt:lpstr>'N175SW All areas'!Loaded_Monent</vt:lpstr>
      <vt:lpstr>'N175SW Equal Distb Cargo'!Loaded_Monent</vt:lpstr>
      <vt:lpstr>'N175SW Pax loads'!Loaded_Monent</vt:lpstr>
      <vt:lpstr>'N175SW All areas'!Max_Ld_Wt.</vt:lpstr>
      <vt:lpstr>'N175SW Equal Distb Cargo'!Max_Ld_Wt.</vt:lpstr>
      <vt:lpstr>'N175SW Pax loads'!Max_Ld_Wt.</vt:lpstr>
      <vt:lpstr>'N175SW All areas'!Print_Area</vt:lpstr>
      <vt:lpstr>'N175SW Equal Distb Cargo'!Print_Area</vt:lpstr>
      <vt:lpstr>'N175SW Pax loads'!Print_Area</vt:lpstr>
      <vt:lpstr>'N175SW All areas'!Take_Off_C.G.</vt:lpstr>
      <vt:lpstr>'N175SW Equal Distb Cargo'!Take_Off_C.G.</vt:lpstr>
      <vt:lpstr>'N175SW Pax loads'!Take_Off_C.G.</vt:lpstr>
      <vt:lpstr>'N175SW All areas'!Take_Off_Wt.</vt:lpstr>
      <vt:lpstr>'N175SW Equal Distb Cargo'!Take_Off_Wt.</vt:lpstr>
      <vt:lpstr>'N175SW Pax loads'!Take_Off_Wt.</vt:lpstr>
      <vt:lpstr>'N175SW All areas'!ZFW</vt:lpstr>
      <vt:lpstr>'N175SW Equal Distb Cargo'!ZFW</vt:lpstr>
      <vt:lpstr>'N175SW Pax loads'!ZFW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 Larson</cp:lastModifiedBy>
  <cp:lastPrinted>2025-07-23T18:40:24Z</cp:lastPrinted>
  <dcterms:created xsi:type="dcterms:W3CDTF">2009-03-14T19:12:44Z</dcterms:created>
  <dcterms:modified xsi:type="dcterms:W3CDTF">2026-05-06T18:26:27Z</dcterms:modified>
</cp:coreProperties>
</file>