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tnaip\Desktop\"/>
    </mc:Choice>
  </mc:AlternateContent>
  <xr:revisionPtr revIDLastSave="0" documentId="13_ncr:1_{83A6566C-BE8A-4838-84F4-57DE590B6E5E}" xr6:coauthVersionLast="47" xr6:coauthVersionMax="47" xr10:uidLastSave="{00000000-0000-0000-0000-000000000000}"/>
  <bookViews>
    <workbookView xWindow="-120" yWindow="-120" windowWidth="29040" windowHeight="15720" tabRatio="783" xr2:uid="{00000000-000D-0000-FFFF-FFFF00000000}"/>
  </bookViews>
  <sheets>
    <sheet name="Customer Quote Page" sheetId="6" r:id="rId1"/>
    <sheet name="Lookup Calculator" sheetId="4" r:id="rId2"/>
    <sheet name="Multi Leg Calculator" sheetId="7" r:id="rId3"/>
    <sheet name="Aircraft Variables" sheetId="2" r:id="rId4"/>
    <sheet name="Airports" sheetId="3" r:id="rId5"/>
    <sheet name="Tax Calculator" sheetId="9" r:id="rId6"/>
    <sheet name="Information" sheetId="8" r:id="rId7"/>
    <sheet name="Historic Rates" sheetId="10" r:id="rId8"/>
  </sheets>
  <definedNames>
    <definedName name="Aircraft_LdFees">'Aircraft Variables'!$C$20:$I$20</definedName>
    <definedName name="Aircraft_Minutes">'Aircraft Variables'!$C$13:$I$13</definedName>
    <definedName name="Aircraft_Speeds">'Aircraft Variables'!$C$8:$I$12</definedName>
    <definedName name="Aircraft_Type">'Aircraft Variables'!$C$8:$I$8</definedName>
    <definedName name="Aircraft_Variables">'Aircraft Variables'!$B$8:$I$20</definedName>
    <definedName name="Airports">Airports!$B$3:$B$404</definedName>
    <definedName name="Avgas_Cost">'Aircraft Variables'!$C$24</definedName>
    <definedName name="B200_DryRate">'Aircraft Variables'!$E$10</definedName>
    <definedName name="B200_Fuel_Type">'Aircraft Variables'!$E$14</definedName>
    <definedName name="B200_Ld_fee">'Aircraft Variables'!$E$20</definedName>
    <definedName name="B200_Min">'Aircraft Variables'!$E$13</definedName>
    <definedName name="B200_Payload">'Aircraft Variables'!$E$18</definedName>
    <definedName name="B200_PPH">'Aircraft Variables'!$E$15</definedName>
    <definedName name="B200_Rate">'Aircraft Variables'!$E$9</definedName>
    <definedName name="B200_Speed_Min">'Aircraft Variables'!$E$12</definedName>
    <definedName name="B200_Tax_Gal">'Aircraft Variables'!$E$17</definedName>
    <definedName name="B200_TO_Fuel">'Aircraft Variables'!$E$16</definedName>
    <definedName name="B99_Dry_Rate">'Aircraft Variables'!$C$10</definedName>
    <definedName name="B99_Fuel_Type">'Aircraft Variables'!$C$14</definedName>
    <definedName name="B99_Ld_Fee">'Aircraft Variables'!$C$20</definedName>
    <definedName name="B99_Min">'Aircraft Variables'!$C$13</definedName>
    <definedName name="B99_Payload">'Aircraft Variables'!$C$18</definedName>
    <definedName name="B99_PPH">'Aircraft Variables'!$C$15</definedName>
    <definedName name="B99_Rate">'Aircraft Variables'!$C$9</definedName>
    <definedName name="B99_Speed_Min">'Aircraft Variables'!$C$12</definedName>
    <definedName name="B99_Tax_Gal">'Aircraft Variables'!$C$17</definedName>
    <definedName name="B99_TO_Fuel">'Aircraft Variables'!$C$16</definedName>
    <definedName name="DC3_Tax_Gal">'Aircraft Variables'!$B$18</definedName>
    <definedName name="DC3T_Tax_Gal">'Aircraft Variables'!$C$18</definedName>
    <definedName name="Heavy_Metro_Ldg_Fee">'Aircraft Variables'!$G$20</definedName>
    <definedName name="Heavy_Metro_Min">'Aircraft Variables'!$G$13</definedName>
    <definedName name="Heavy_Metro_Payload">'Aircraft Variables'!$G$18</definedName>
    <definedName name="Heavy_Metro_PPH">'Aircraft Variables'!$G$15</definedName>
    <definedName name="Heavy_Metro_Rate">'Aircraft Variables'!$G$9</definedName>
    <definedName name="Heavy_Metro_Speed_Min">'Aircraft Variables'!$G$12</definedName>
    <definedName name="Heavy_Metro_Tax_Gal">'Aircraft Variables'!$G$17</definedName>
    <definedName name="Heavy_Metro_TO_Fuel">'Aircraft Variables'!$G$16</definedName>
    <definedName name="Jet_Cost">'Aircraft Variables'!$C$23</definedName>
    <definedName name="Multi_Leg_AC">'Multi Leg Calculator'!$F$4</definedName>
    <definedName name="Navajo_Dry_rate">'Aircraft Variables'!$B$10</definedName>
    <definedName name="Navajo_Fuel_Type">'Aircraft Variables'!$B$14</definedName>
    <definedName name="Navajo_Ld_Fee">'Aircraft Variables'!$B$20</definedName>
    <definedName name="Navajo_Min">'Aircraft Variables'!$B$13</definedName>
    <definedName name="Navajo_Payload">'Aircraft Variables'!$B$18</definedName>
    <definedName name="Navajo_PPH">'Aircraft Variables'!$B$15</definedName>
    <definedName name="Navajo_Rate">'Aircraft Variables'!$B$9</definedName>
    <definedName name="Navajo_Speed_Min">'Aircraft Variables'!$B$12</definedName>
    <definedName name="Navajo_Tax_gal">'Aircraft Variables'!$B$17</definedName>
    <definedName name="Navajo_TO_Fuel">'Aircraft Variables'!$B$16</definedName>
    <definedName name="_xlnm.Print_Area" localSheetId="0">'Customer Quote Page'!$B$2:$O$26</definedName>
    <definedName name="_xlnm.Print_Area" localSheetId="1">'Lookup Calculator'!$A$1:$K$20</definedName>
    <definedName name="_xlnm.Print_Area" localSheetId="2">'Multi Leg Calculator'!$B$1:$Q$32</definedName>
    <definedName name="SA227_Dry_Rate">'Aircraft Variables'!$F$10</definedName>
    <definedName name="SA227_Fuel_Type">'Aircraft Variables'!$F$14</definedName>
    <definedName name="SA227_Ld_Fee">'Aircraft Variables'!$F$20</definedName>
    <definedName name="SA227_Min">'Aircraft Variables'!$G$13</definedName>
    <definedName name="SA227_Payload">'Aircraft Variables'!$F$18</definedName>
    <definedName name="SA227_PPH">'Aircraft Variables'!$F$15</definedName>
    <definedName name="SA227_Rate">'Aircraft Variables'!$F$9</definedName>
    <definedName name="SA227_Speed_Min">'Aircraft Variables'!$G$12</definedName>
    <definedName name="SA227_Tax_Gal">'Aircraft Variables'!$G$17</definedName>
    <definedName name="SA227_TO_Fuel">'Aircraft Variables'!$G$16</definedName>
    <definedName name="SD330_Dry_Rate">'Aircraft Variables'!$H$10</definedName>
    <definedName name="SD330_Fuel_Type">'Aircraft Variables'!$H$14</definedName>
    <definedName name="SD330_Ld_Fee">'Aircraft Variables'!$H$20</definedName>
    <definedName name="SD330_Min">'Aircraft Variables'!$H$13</definedName>
    <definedName name="SD330_Payload">'Aircraft Variables'!$H$18</definedName>
    <definedName name="SD330_PPH">'Aircraft Variables'!$H$15</definedName>
    <definedName name="SD330_Rate">'Aircraft Variables'!$H$9</definedName>
    <definedName name="SD330_Speed_Min">'Aircraft Variables'!$H$12</definedName>
    <definedName name="SD330_Tax_Gal">'Aircraft Variables'!$H$17</definedName>
    <definedName name="SD330_TO_Fuel">'Aircraft Variables'!$H$16</definedName>
    <definedName name="State_Ld_Fee">'Aircraft Variables'!$B$27</definedName>
    <definedName name="Super_Dry_Rate">'Aircraft Variables'!$I$10</definedName>
    <definedName name="Super_Fuel_Type">'Aircraft Variables'!$I$14</definedName>
    <definedName name="Super_Ld_Fee">'Aircraft Variables'!$I$20</definedName>
    <definedName name="Super_Min">'Aircraft Variables'!$I$13</definedName>
    <definedName name="Super_Payload">'Aircraft Variables'!$I$18</definedName>
    <definedName name="Super_PPH">'Aircraft Variables'!$I$15</definedName>
    <definedName name="Super_Rate">'Aircraft Variables'!$I$9</definedName>
    <definedName name="Super_Speed_Min">'Aircraft Variables'!$I$12</definedName>
    <definedName name="Super_Tax_gal">'Aircraft Variables'!$I$17</definedName>
    <definedName name="Super_TO_Fuel">'Aircraft Variables'!$I$16</definedName>
    <definedName name="Tax_Type">'Aircraft Variables'!$A$25:$A$26</definedName>
    <definedName name="Taxes">'Aircraft Variables'!$A$25:$B$26</definedName>
    <definedName name="Volpar_Dry_Rate">'Aircraft Variables'!$D$10</definedName>
    <definedName name="Volpar_Fuel_Type">'Aircraft Variables'!$B$14</definedName>
    <definedName name="Volpar_Ld_Fee">'Aircraft Variables'!$D$20</definedName>
    <definedName name="Volpar_Min">'Aircraft Variables'!$D$13</definedName>
    <definedName name="Volpar_Payload">'Aircraft Variables'!$D$18</definedName>
    <definedName name="Volpar_PPH">'Aircraft Variables'!$D$15</definedName>
    <definedName name="Volpar_Rate">'Aircraft Variables'!$D$9</definedName>
    <definedName name="Volpar_Speed_Min">'Aircraft Variables'!$D$12</definedName>
    <definedName name="Volpar_Tax_Gal">'Aircraft Variables'!$D$17</definedName>
    <definedName name="Volpar_to_Fuel">'Aircraft Variables'!$D$16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 l="1"/>
  <c r="L8" i="4"/>
  <c r="L7" i="4" s="1"/>
  <c r="I8" i="4"/>
  <c r="I7" i="4" l="1"/>
  <c r="O26" i="2" l="1"/>
  <c r="P26" i="2"/>
  <c r="K44" i="2"/>
  <c r="K45" i="2"/>
  <c r="K41" i="2"/>
  <c r="H20" i="2" l="1"/>
  <c r="H19" i="2"/>
  <c r="K46" i="2" s="1"/>
  <c r="R6" i="2" a="1"/>
  <c r="R6" i="2" s="1"/>
  <c r="R4" i="2"/>
  <c r="H9" i="2" s="1"/>
  <c r="K22" i="4" s="1"/>
  <c r="B12" i="2"/>
  <c r="M4" i="2"/>
  <c r="K48" i="2" l="1"/>
  <c r="K49" i="2" s="1"/>
  <c r="H10" i="2"/>
  <c r="R7" i="2"/>
  <c r="K17" i="7"/>
  <c r="K16" i="7"/>
  <c r="K15" i="7"/>
  <c r="J17" i="7"/>
  <c r="J16" i="7"/>
  <c r="J15" i="7"/>
  <c r="H17" i="7"/>
  <c r="H16" i="7"/>
  <c r="H15" i="7"/>
  <c r="H14" i="7"/>
  <c r="K14" i="7" s="1"/>
  <c r="H13" i="7"/>
  <c r="K13" i="7" s="1"/>
  <c r="H12" i="7"/>
  <c r="K12" i="7" s="1"/>
  <c r="H11" i="7"/>
  <c r="K11" i="7" s="1"/>
  <c r="H10" i="7"/>
  <c r="H9" i="7"/>
  <c r="K9" i="7" s="1"/>
  <c r="H8" i="7"/>
  <c r="K8" i="7" s="1"/>
  <c r="J14" i="7" l="1"/>
  <c r="J13" i="7"/>
  <c r="J12" i="7"/>
  <c r="J11" i="7"/>
  <c r="K50" i="2"/>
  <c r="K10" i="7"/>
  <c r="Q6" i="2"/>
  <c r="Q4" i="2"/>
  <c r="Q5" i="2" s="1"/>
  <c r="G9" i="2" s="1"/>
  <c r="J22" i="4" s="1"/>
  <c r="F20" i="2"/>
  <c r="F19" i="2"/>
  <c r="F16" i="2"/>
  <c r="F12" i="2"/>
  <c r="O19" i="2"/>
  <c r="O18" i="2"/>
  <c r="Q7" i="2" l="1"/>
  <c r="G10" i="2" s="1"/>
  <c r="O20" i="2"/>
  <c r="Q21" i="2" s="1"/>
  <c r="P21" i="2" s="1"/>
  <c r="Q23" i="2" s="1"/>
  <c r="P22" i="2" s="1"/>
  <c r="M6" i="2" l="1"/>
  <c r="M7" i="2" s="1"/>
  <c r="N12" i="10" l="1"/>
  <c r="J12" i="10"/>
  <c r="L11" i="10"/>
  <c r="M11" i="10"/>
  <c r="L12" i="10"/>
  <c r="M12" i="10"/>
  <c r="K11" i="10"/>
  <c r="K12" i="10"/>
  <c r="I11" i="10"/>
  <c r="I12" i="10"/>
  <c r="I18" i="10"/>
  <c r="K18" i="10"/>
  <c r="L18" i="10"/>
  <c r="M18" i="10"/>
  <c r="I19" i="10"/>
  <c r="K19" i="10"/>
  <c r="L19" i="10"/>
  <c r="M19" i="10"/>
  <c r="E16" i="2"/>
  <c r="I16" i="2"/>
  <c r="B16" i="2"/>
  <c r="B20" i="2"/>
  <c r="L21" i="7" s="1"/>
  <c r="E20" i="2"/>
  <c r="L4" i="2"/>
  <c r="L5" i="2" s="1"/>
  <c r="M5" i="2"/>
  <c r="N4" i="2"/>
  <c r="N5" i="2" s="1"/>
  <c r="I9" i="2" s="1"/>
  <c r="O4" i="2"/>
  <c r="O5" i="2" s="1"/>
  <c r="D9" i="2" s="1"/>
  <c r="P4" i="2"/>
  <c r="P5" i="2" s="1"/>
  <c r="B9" i="2" s="1"/>
  <c r="E22" i="4" s="1"/>
  <c r="K4" i="2"/>
  <c r="K5" i="2" s="1"/>
  <c r="C9" i="2" s="1"/>
  <c r="K6" i="2"/>
  <c r="P6" i="2"/>
  <c r="P7" i="2" s="1"/>
  <c r="O6" i="2"/>
  <c r="N6" i="2"/>
  <c r="F10" i="2"/>
  <c r="L6" i="2"/>
  <c r="L7" i="2" s="1"/>
  <c r="D20" i="2"/>
  <c r="D19" i="2"/>
  <c r="D16" i="2"/>
  <c r="D12" i="2"/>
  <c r="O7" i="2" l="1"/>
  <c r="D10" i="2" s="1"/>
  <c r="N7" i="2"/>
  <c r="I10" i="2" s="1"/>
  <c r="K7" i="2"/>
  <c r="C10" i="2" s="1"/>
  <c r="F9" i="2"/>
  <c r="E9" i="2"/>
  <c r="E10" i="2"/>
  <c r="B10" i="2"/>
  <c r="J10" i="7" l="1"/>
  <c r="J9" i="7"/>
  <c r="J8" i="7"/>
  <c r="C13" i="4"/>
  <c r="L14" i="4" l="1"/>
  <c r="K14" i="4"/>
  <c r="E14" i="4"/>
  <c r="K11" i="4" l="1"/>
  <c r="K17" i="4" s="1"/>
  <c r="E18" i="6"/>
  <c r="K16" i="4"/>
  <c r="K10" i="4" a="1"/>
  <c r="K10" i="4" s="1"/>
  <c r="K13" i="4"/>
  <c r="Q30" i="6" s="1"/>
  <c r="F18" i="6" s="1"/>
  <c r="L16" i="4"/>
  <c r="K12" i="4"/>
  <c r="R30" i="6" s="1"/>
  <c r="G18" i="6" s="1"/>
  <c r="E12" i="6"/>
  <c r="E10" i="4"/>
  <c r="E12" i="4"/>
  <c r="R28" i="6" s="1"/>
  <c r="G12" i="6" s="1"/>
  <c r="E16" i="4"/>
  <c r="E13" i="4"/>
  <c r="Q28" i="6" s="1"/>
  <c r="F12" i="6" s="1"/>
  <c r="H18" i="6" l="1"/>
  <c r="K18" i="4"/>
  <c r="K19" i="4" s="1"/>
  <c r="K15" i="4"/>
  <c r="H12" i="6"/>
  <c r="E15" i="4"/>
  <c r="E5" i="9"/>
  <c r="I18" i="6" l="1"/>
  <c r="E6" i="9"/>
  <c r="G5" i="9"/>
  <c r="I9" i="10"/>
  <c r="K9" i="10"/>
  <c r="L9" i="10"/>
  <c r="M9" i="10"/>
  <c r="I10" i="10"/>
  <c r="K10" i="10"/>
  <c r="L10" i="10"/>
  <c r="M10" i="10"/>
  <c r="K6" i="10"/>
  <c r="L6" i="10"/>
  <c r="M6" i="10"/>
  <c r="I6" i="10"/>
  <c r="D7" i="10" l="1"/>
  <c r="E7" i="10"/>
  <c r="F7" i="10"/>
  <c r="B7" i="10"/>
  <c r="I7" i="10" l="1"/>
  <c r="I8" i="10"/>
  <c r="M7" i="10"/>
  <c r="M8" i="10"/>
  <c r="L7" i="10"/>
  <c r="L8" i="10"/>
  <c r="K7" i="10"/>
  <c r="K8" i="10"/>
  <c r="I19" i="2" l="1"/>
  <c r="G19" i="2"/>
  <c r="E19" i="2"/>
  <c r="C19" i="2"/>
  <c r="C15" i="2" l="1"/>
  <c r="I15" i="2"/>
  <c r="B13" i="4" l="1"/>
  <c r="C10" i="4"/>
  <c r="E11" i="4" l="1"/>
  <c r="E17" i="4" l="1"/>
  <c r="L17" i="4"/>
  <c r="E18" i="4"/>
  <c r="E19" i="4" s="1"/>
  <c r="E20" i="4"/>
  <c r="E21" i="4" s="1"/>
  <c r="M11" i="4"/>
  <c r="I12" i="6" l="1"/>
  <c r="H20" i="9"/>
  <c r="L5" i="6" l="1"/>
  <c r="I9" i="6"/>
  <c r="D343" i="3" l="1"/>
  <c r="F13" i="8"/>
  <c r="F14" i="8" s="1"/>
  <c r="F16" i="8" s="1"/>
  <c r="F6" i="8"/>
  <c r="F7" i="8"/>
  <c r="F8" i="8"/>
  <c r="F5" i="8"/>
  <c r="I8" i="8"/>
  <c r="I7" i="8"/>
  <c r="I6" i="8"/>
  <c r="I5" i="8"/>
  <c r="C20" i="2"/>
  <c r="I31" i="2"/>
  <c r="G20" i="2"/>
  <c r="G9" i="7"/>
  <c r="G10" i="7" s="1"/>
  <c r="G11" i="7" s="1"/>
  <c r="G12" i="7" s="1"/>
  <c r="G13" i="7" s="1"/>
  <c r="G14" i="7" s="1"/>
  <c r="G15" i="7" s="1"/>
  <c r="G16" i="7" s="1"/>
  <c r="G17" i="7" s="1"/>
  <c r="B12" i="4"/>
  <c r="C12" i="2"/>
  <c r="F14" i="4" s="1"/>
  <c r="I20" i="2"/>
  <c r="I12" i="2"/>
  <c r="E19" i="6" s="1"/>
  <c r="M25" i="7"/>
  <c r="C16" i="2"/>
  <c r="G12" i="2"/>
  <c r="J14" i="4" s="1"/>
  <c r="C9" i="7"/>
  <c r="G16" i="2"/>
  <c r="J16" i="4" l="1"/>
  <c r="J12" i="4"/>
  <c r="J13" i="4"/>
  <c r="I14" i="4"/>
  <c r="E17" i="6" s="1"/>
  <c r="L10" i="4"/>
  <c r="F16" i="4"/>
  <c r="E13" i="6"/>
  <c r="F10" i="4"/>
  <c r="L11" i="4"/>
  <c r="O17" i="7"/>
  <c r="O16" i="7"/>
  <c r="O15" i="7"/>
  <c r="R16" i="7"/>
  <c r="R15" i="7"/>
  <c r="R17" i="7"/>
  <c r="Q17" i="7"/>
  <c r="Q15" i="7"/>
  <c r="Q16" i="7"/>
  <c r="G14" i="4"/>
  <c r="R14" i="7"/>
  <c r="L22" i="4"/>
  <c r="E7" i="9"/>
  <c r="L13" i="4"/>
  <c r="Q26" i="6" s="1"/>
  <c r="F19" i="6" s="1"/>
  <c r="H14" i="4"/>
  <c r="H13" i="6" l="1"/>
  <c r="H19" i="6"/>
  <c r="L20" i="4"/>
  <c r="L21" i="4" s="1"/>
  <c r="J19" i="6" s="1"/>
  <c r="L18" i="4"/>
  <c r="L19" i="4" s="1"/>
  <c r="R29" i="6"/>
  <c r="G17" i="6" s="1"/>
  <c r="J10" i="4"/>
  <c r="Q29" i="6"/>
  <c r="F17" i="6" s="1"/>
  <c r="J11" i="4"/>
  <c r="J17" i="4" s="1"/>
  <c r="I12" i="4"/>
  <c r="R25" i="6" s="1"/>
  <c r="G16" i="6" s="1"/>
  <c r="I13" i="4"/>
  <c r="Q25" i="6" s="1"/>
  <c r="F16" i="6" s="1"/>
  <c r="F15" i="4"/>
  <c r="E14" i="6"/>
  <c r="G10" i="4"/>
  <c r="I10" i="4"/>
  <c r="E16" i="6"/>
  <c r="E15" i="6"/>
  <c r="H10" i="4"/>
  <c r="H12" i="4"/>
  <c r="P8" i="7"/>
  <c r="I16" i="4"/>
  <c r="R13" i="7"/>
  <c r="R12" i="7"/>
  <c r="O12" i="7"/>
  <c r="Q13" i="7"/>
  <c r="Q12" i="7"/>
  <c r="O13" i="7"/>
  <c r="Q14" i="7"/>
  <c r="O14" i="7"/>
  <c r="Q10" i="7"/>
  <c r="R10" i="7"/>
  <c r="Q9" i="7"/>
  <c r="R9" i="7"/>
  <c r="R8" i="7"/>
  <c r="Q8" i="7"/>
  <c r="R11" i="7"/>
  <c r="Q11" i="7"/>
  <c r="O10" i="7"/>
  <c r="P10" i="7"/>
  <c r="P9" i="7"/>
  <c r="O11" i="7"/>
  <c r="O9" i="7"/>
  <c r="O8" i="7"/>
  <c r="H16" i="4"/>
  <c r="H11" i="4"/>
  <c r="H17" i="4" s="1"/>
  <c r="H13" i="4"/>
  <c r="Q24" i="6" s="1"/>
  <c r="F15" i="6" s="1"/>
  <c r="I9" i="7"/>
  <c r="I10" i="7" s="1"/>
  <c r="G16" i="4"/>
  <c r="L12" i="4"/>
  <c r="R26" i="6" s="1"/>
  <c r="G19" i="6" s="1"/>
  <c r="A50" i="4"/>
  <c r="L15" i="4"/>
  <c r="F12" i="4"/>
  <c r="R23" i="6" s="1"/>
  <c r="G13" i="6" s="1"/>
  <c r="F13" i="4"/>
  <c r="Q23" i="6" s="1"/>
  <c r="F13" i="6" s="1"/>
  <c r="F11" i="4"/>
  <c r="F17" i="4" s="1"/>
  <c r="F18" i="4" s="1"/>
  <c r="I11" i="4"/>
  <c r="I17" i="4" s="1"/>
  <c r="G13" i="4"/>
  <c r="Q27" i="6" s="1"/>
  <c r="F14" i="6" s="1"/>
  <c r="G11" i="4"/>
  <c r="G17" i="4" s="1"/>
  <c r="G12" i="4"/>
  <c r="R27" i="6" s="1"/>
  <c r="G14" i="6" s="1"/>
  <c r="H17" i="6" l="1"/>
  <c r="J20" i="4"/>
  <c r="J18" i="4"/>
  <c r="J19" i="4" s="1"/>
  <c r="J21" i="4"/>
  <c r="H15" i="6"/>
  <c r="H20" i="4"/>
  <c r="H21" i="4" s="1"/>
  <c r="H18" i="4"/>
  <c r="H19" i="4" s="1"/>
  <c r="F19" i="4"/>
  <c r="F20" i="4"/>
  <c r="F21" i="4" s="1"/>
  <c r="H16" i="6"/>
  <c r="I20" i="4"/>
  <c r="I21" i="4" s="1"/>
  <c r="I18" i="4"/>
  <c r="I19" i="4" s="1"/>
  <c r="H14" i="6"/>
  <c r="G18" i="4"/>
  <c r="G19" i="4" s="1"/>
  <c r="J15" i="4"/>
  <c r="I15" i="4"/>
  <c r="G15" i="4"/>
  <c r="H15" i="4"/>
  <c r="R24" i="6"/>
  <c r="G15" i="6" s="1"/>
  <c r="K18" i="7"/>
  <c r="L23" i="7" s="1"/>
  <c r="I19" i="6"/>
  <c r="N9" i="7"/>
  <c r="M9" i="7"/>
  <c r="A49" i="4"/>
  <c r="A48" i="4" s="1"/>
  <c r="B14" i="4" s="1"/>
  <c r="I11" i="7"/>
  <c r="M10" i="7"/>
  <c r="N10" i="7"/>
  <c r="J17" i="6" l="1"/>
  <c r="I17" i="6"/>
  <c r="M11" i="7"/>
  <c r="N11" i="7"/>
  <c r="I12" i="7"/>
  <c r="M12" i="7" l="1"/>
  <c r="N12" i="7"/>
  <c r="I13" i="7"/>
  <c r="N13" i="7" l="1"/>
  <c r="I14" i="7"/>
  <c r="M13" i="7"/>
  <c r="M14" i="7" l="1"/>
  <c r="N14" i="7"/>
  <c r="I15" i="7"/>
  <c r="M15" i="7" l="1"/>
  <c r="I16" i="7"/>
  <c r="N15" i="7"/>
  <c r="N16" i="7" l="1"/>
  <c r="M16" i="7"/>
  <c r="I17" i="7"/>
  <c r="I18" i="7" s="1"/>
  <c r="M20" i="7" s="1"/>
  <c r="M17" i="7" l="1"/>
  <c r="N17" i="7"/>
  <c r="H22" i="4" l="1"/>
  <c r="I15" i="6"/>
  <c r="J15" i="6"/>
  <c r="G22" i="4" l="1"/>
  <c r="I22" i="4"/>
  <c r="I16" i="6" l="1"/>
  <c r="J13" i="6"/>
  <c r="I13" i="6"/>
  <c r="F22" i="4"/>
  <c r="J16" i="6" l="1"/>
  <c r="I14" i="6"/>
  <c r="L9" i="7"/>
  <c r="L10" i="7" s="1"/>
  <c r="L11" i="7" s="1"/>
  <c r="L12" i="7" s="1"/>
  <c r="L13" i="7" s="1"/>
  <c r="L14" i="7" s="1"/>
  <c r="L15" i="7" s="1"/>
  <c r="L16" i="7" s="1"/>
  <c r="L17" i="7" s="1"/>
  <c r="J18" i="7"/>
  <c r="L20" i="7" s="1"/>
  <c r="L22" i="7" s="1"/>
  <c r="L24" i="7" s="1"/>
  <c r="L25" i="7" s="1"/>
  <c r="L26" i="7" l="1"/>
  <c r="J1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<sst xmlns="http://schemas.openxmlformats.org/spreadsheetml/2006/main" count="1721" uniqueCount="1165">
  <si>
    <t>Destination</t>
  </si>
  <si>
    <t>Beech 99</t>
  </si>
  <si>
    <t>Metro III</t>
  </si>
  <si>
    <t>Super DC-3</t>
  </si>
  <si>
    <t>Comments</t>
  </si>
  <si>
    <t>Hr rate</t>
  </si>
  <si>
    <t>Ave Speed</t>
  </si>
  <si>
    <t>Fuel Type</t>
  </si>
  <si>
    <t>Max Payload</t>
  </si>
  <si>
    <t>Gas</t>
  </si>
  <si>
    <t>Jet</t>
  </si>
  <si>
    <t>Comment</t>
  </si>
  <si>
    <t>= Check values</t>
  </si>
  <si>
    <t>Avgas Cost</t>
  </si>
  <si>
    <t>Jet Cost</t>
  </si>
  <si>
    <t>Note Date:</t>
  </si>
  <si>
    <t>Landing fee</t>
  </si>
  <si>
    <t>Speed min.</t>
  </si>
  <si>
    <t>= Variables</t>
  </si>
  <si>
    <t>Cruise PPH</t>
  </si>
  <si>
    <t>Adak</t>
  </si>
  <si>
    <t>ADK</t>
  </si>
  <si>
    <t>Akhiok</t>
  </si>
  <si>
    <t>AKK</t>
  </si>
  <si>
    <t>Fuel available at Kodiak with Extra Stop. - Runway 3,120' - Reduced Payloads for all aircraft.</t>
  </si>
  <si>
    <t>Akiak</t>
  </si>
  <si>
    <t>AKI</t>
  </si>
  <si>
    <t>Runway 3,196 - SOFT - No Metro Reduced Payloads for all Aircraft - Refuel Available at Bethel (20 nm away)</t>
  </si>
  <si>
    <t>Alakanuk</t>
  </si>
  <si>
    <t>AUK</t>
  </si>
  <si>
    <t>Short Runay - No Metro or Super - NEAR Emmonak</t>
  </si>
  <si>
    <t>WKK</t>
  </si>
  <si>
    <t>Short Runway - No Metro or Super - Near DLG</t>
  </si>
  <si>
    <t>Aleknagik</t>
  </si>
  <si>
    <t>Allakaket</t>
  </si>
  <si>
    <t>AET</t>
  </si>
  <si>
    <t>4,000' near Bettles</t>
  </si>
  <si>
    <t>Allen AFB</t>
  </si>
  <si>
    <t>BIG</t>
  </si>
  <si>
    <t>Allen AFB, Fort Greeley, Delta Junction</t>
  </si>
  <si>
    <t>Ambler</t>
  </si>
  <si>
    <t>3,000' Good Runway - Fuel at Kotzebue or Gleana.</t>
  </si>
  <si>
    <t>ABL</t>
  </si>
  <si>
    <t>Anaktuvuk</t>
  </si>
  <si>
    <t>AKP</t>
  </si>
  <si>
    <t>Refuel Bettles or Deadshore</t>
  </si>
  <si>
    <t>Aniak</t>
  </si>
  <si>
    <t>Fuel Available - OK to use for "Return Payload" value from ANC with Fuel Charge</t>
  </si>
  <si>
    <t>Annette</t>
  </si>
  <si>
    <t>Fuel at Ketchikan</t>
  </si>
  <si>
    <t>Anvik</t>
  </si>
  <si>
    <t>Arctic Village</t>
  </si>
  <si>
    <t>ARC</t>
  </si>
  <si>
    <t>Atka</t>
  </si>
  <si>
    <t>Atmautluak</t>
  </si>
  <si>
    <t>ATT</t>
  </si>
  <si>
    <t>Atqasuk</t>
  </si>
  <si>
    <t>ATK</t>
  </si>
  <si>
    <t>Barrow</t>
  </si>
  <si>
    <t>BRW</t>
  </si>
  <si>
    <t>Beaver</t>
  </si>
  <si>
    <t>WQB</t>
  </si>
  <si>
    <t>Beluga</t>
  </si>
  <si>
    <t>Bethel</t>
  </si>
  <si>
    <t>BET</t>
  </si>
  <si>
    <t>Bettles</t>
  </si>
  <si>
    <t>BTT</t>
  </si>
  <si>
    <t>Big Lake</t>
  </si>
  <si>
    <t>BGQ</t>
  </si>
  <si>
    <t>Big Mountain</t>
  </si>
  <si>
    <t>BMX</t>
  </si>
  <si>
    <t>Birch Creek</t>
  </si>
  <si>
    <t>KBC</t>
  </si>
  <si>
    <t>Birchwood</t>
  </si>
  <si>
    <t>BCV</t>
  </si>
  <si>
    <t>BYA</t>
  </si>
  <si>
    <t>Brevig Mission</t>
  </si>
  <si>
    <t>KTS</t>
  </si>
  <si>
    <t>Buckland</t>
  </si>
  <si>
    <t>BKC</t>
  </si>
  <si>
    <t>CDL</t>
  </si>
  <si>
    <t>Cape Lisburne</t>
  </si>
  <si>
    <t>LUR</t>
  </si>
  <si>
    <t>Cape Romanzof</t>
  </si>
  <si>
    <t>CZF</t>
  </si>
  <si>
    <t>Cape Sarichef</t>
  </si>
  <si>
    <t>CSH</t>
  </si>
  <si>
    <t>Central</t>
  </si>
  <si>
    <t>CIK</t>
  </si>
  <si>
    <t>WCR</t>
  </si>
  <si>
    <t>Chefornak</t>
  </si>
  <si>
    <t>CYF</t>
  </si>
  <si>
    <t>Chenega Bay</t>
  </si>
  <si>
    <t>C05</t>
  </si>
  <si>
    <t>Chevak</t>
  </si>
  <si>
    <t>VAK</t>
  </si>
  <si>
    <t>Chicken</t>
  </si>
  <si>
    <t>CKX</t>
  </si>
  <si>
    <t>Chignik</t>
  </si>
  <si>
    <t>KCL</t>
  </si>
  <si>
    <t>Chisana</t>
  </si>
  <si>
    <t>CZN</t>
  </si>
  <si>
    <t>Chistochina</t>
  </si>
  <si>
    <t>CZO</t>
  </si>
  <si>
    <t>CXC</t>
  </si>
  <si>
    <t>Chitina</t>
  </si>
  <si>
    <t>CHU</t>
  </si>
  <si>
    <t>IRC</t>
  </si>
  <si>
    <t>CHP</t>
  </si>
  <si>
    <t>Clarks Point</t>
  </si>
  <si>
    <t>CLP</t>
  </si>
  <si>
    <t>Clear</t>
  </si>
  <si>
    <t>Z84</t>
  </si>
  <si>
    <t>Cold Bay</t>
  </si>
  <si>
    <t>CDB</t>
  </si>
  <si>
    <t>Cold Foot</t>
  </si>
  <si>
    <t>CXF</t>
  </si>
  <si>
    <t>JLA</t>
  </si>
  <si>
    <t>Cordova</t>
  </si>
  <si>
    <t>CDV</t>
  </si>
  <si>
    <t>Council</t>
  </si>
  <si>
    <t>CIL</t>
  </si>
  <si>
    <t>Dahl Creek</t>
  </si>
  <si>
    <t>DCK</t>
  </si>
  <si>
    <t>Dawson City</t>
  </si>
  <si>
    <t>CYDA</t>
  </si>
  <si>
    <t>Deadhorse</t>
  </si>
  <si>
    <t>AK15</t>
  </si>
  <si>
    <t>SCC</t>
  </si>
  <si>
    <t>Dillingham</t>
  </si>
  <si>
    <t>DLG</t>
  </si>
  <si>
    <t>Dutch Harbor</t>
  </si>
  <si>
    <t>DUT</t>
  </si>
  <si>
    <t>DRG</t>
  </si>
  <si>
    <t>Eagle</t>
  </si>
  <si>
    <t>Shemya</t>
  </si>
  <si>
    <t>Eareckson AS</t>
  </si>
  <si>
    <t>SYA</t>
  </si>
  <si>
    <t>Eek</t>
  </si>
  <si>
    <t>Egegik</t>
  </si>
  <si>
    <t>Eielson AFB</t>
  </si>
  <si>
    <t>Ekwok</t>
  </si>
  <si>
    <t>Elim</t>
  </si>
  <si>
    <t>Emmonak</t>
  </si>
  <si>
    <t>False Pass</t>
  </si>
  <si>
    <t>Farewell</t>
  </si>
  <si>
    <t>Five Mile</t>
  </si>
  <si>
    <t>Flat</t>
  </si>
  <si>
    <t>Fort Yukon</t>
  </si>
  <si>
    <t>Galbraith Lake</t>
  </si>
  <si>
    <t>Galena</t>
  </si>
  <si>
    <t>Girdwood</t>
  </si>
  <si>
    <t>Golovin</t>
  </si>
  <si>
    <t>Goodnews</t>
  </si>
  <si>
    <t>Grayling</t>
  </si>
  <si>
    <t>Gulkana</t>
  </si>
  <si>
    <t>Haines</t>
  </si>
  <si>
    <t>Holy Cross</t>
  </si>
  <si>
    <t>Homer</t>
  </si>
  <si>
    <t>HOM</t>
  </si>
  <si>
    <t>Hoonah</t>
  </si>
  <si>
    <t>Hooper Bay</t>
  </si>
  <si>
    <t>Hope</t>
  </si>
  <si>
    <t>Hughes</t>
  </si>
  <si>
    <t>Huslia</t>
  </si>
  <si>
    <t>Icy Bay</t>
  </si>
  <si>
    <t>Igiugig</t>
  </si>
  <si>
    <t>IGG</t>
  </si>
  <si>
    <t>Iliamna</t>
  </si>
  <si>
    <t>Juneau</t>
  </si>
  <si>
    <t>Kalskag</t>
  </si>
  <si>
    <t>Kaltag</t>
  </si>
  <si>
    <t>Kantishna</t>
  </si>
  <si>
    <t>Karluk</t>
  </si>
  <si>
    <t>Kasigluk</t>
  </si>
  <si>
    <t>Kasilof</t>
  </si>
  <si>
    <t>Kenai</t>
  </si>
  <si>
    <t>Ketchikan</t>
  </si>
  <si>
    <t>Airport Name</t>
  </si>
  <si>
    <t>3-Ltr</t>
  </si>
  <si>
    <t>Distance</t>
  </si>
  <si>
    <t>Anchor Point</t>
  </si>
  <si>
    <t>ANI</t>
  </si>
  <si>
    <t>ANN</t>
  </si>
  <si>
    <t>ANV</t>
  </si>
  <si>
    <t>3,000' fuel in BET 20 miles away</t>
  </si>
  <si>
    <t>4,370- refuel in OTZ</t>
  </si>
  <si>
    <t>3,950 - Possible refuel in FAI</t>
  </si>
  <si>
    <t>1 hour minimum charge for all aircraft - check runway condition for Metro Operations.</t>
  </si>
  <si>
    <t>Fuel Available - OK to use for "Return Payload" value from ANC with extra Fuel Charge</t>
  </si>
  <si>
    <t>2,400' - No Metro or Super - Reduced load for B99 - 1 hour miminum flight charge</t>
  </si>
  <si>
    <t>Millitary Installation - Permit and Prior Permission required</t>
  </si>
  <si>
    <t>4,000' may refuel in FAI</t>
  </si>
  <si>
    <t>Short / Soft - check runway conditions before quoteing anything.</t>
  </si>
  <si>
    <t xml:space="preserve">4,500' rwy  Fuel  Fort Yukon </t>
  </si>
  <si>
    <t>Pax Tax</t>
  </si>
  <si>
    <t>Frt Tax</t>
  </si>
  <si>
    <t>Pilot Pay --&gt;</t>
  </si>
  <si>
    <t>Return Payload --&gt;</t>
  </si>
  <si>
    <t>Leg Time (hrs) --&gt;</t>
  </si>
  <si>
    <t>Black Rapids</t>
  </si>
  <si>
    <t>Boardman</t>
  </si>
  <si>
    <t>Bodey</t>
  </si>
  <si>
    <t xml:space="preserve">Bold </t>
  </si>
  <si>
    <t>Boswell Bay</t>
  </si>
  <si>
    <t xml:space="preserve">Boundary </t>
  </si>
  <si>
    <t>Boundary Bay</t>
  </si>
  <si>
    <t>Buck Creek</t>
  </si>
  <si>
    <t>Bullen Point</t>
  </si>
  <si>
    <t>Burwash</t>
  </si>
  <si>
    <t>Butte</t>
  </si>
  <si>
    <t>Campbell River</t>
  </si>
  <si>
    <t>Candle 2</t>
  </si>
  <si>
    <t>Cantwell</t>
  </si>
  <si>
    <t>Cape Newenham</t>
  </si>
  <si>
    <t>Cape Pole Seaplane</t>
  </si>
  <si>
    <t>Carmacks</t>
  </si>
  <si>
    <t xml:space="preserve">Carney </t>
  </si>
  <si>
    <t>Casco Cove CGS</t>
  </si>
  <si>
    <t>Chalkyitsik</t>
  </si>
  <si>
    <t xml:space="preserve">Chandalar Lake </t>
  </si>
  <si>
    <t>Chapman</t>
  </si>
  <si>
    <t>Chena</t>
  </si>
  <si>
    <t>Chena Hot Springs</t>
  </si>
  <si>
    <t>Chignik Bay Seapolane</t>
  </si>
  <si>
    <t>Chignik Flats</t>
  </si>
  <si>
    <t xml:space="preserve">Chignik Lake </t>
  </si>
  <si>
    <t>Chuathbaluk</t>
  </si>
  <si>
    <t>Circle</t>
  </si>
  <si>
    <t>Circle Hot Springs</t>
  </si>
  <si>
    <t>Clear Sky Lodge</t>
  </si>
  <si>
    <t>Clearwater</t>
  </si>
  <si>
    <t>Coffman Cove Seaplane</t>
  </si>
  <si>
    <t>Coghlan Island</t>
  </si>
  <si>
    <t>Comox</t>
  </si>
  <si>
    <t xml:space="preserve">Comox Seaplane </t>
  </si>
  <si>
    <t xml:space="preserve">Cooper Landing </t>
  </si>
  <si>
    <t>Copper Center</t>
  </si>
  <si>
    <t>1800 grvl</t>
  </si>
  <si>
    <t>3000 grvl-dirt</t>
  </si>
  <si>
    <t>Crooked Creek</t>
  </si>
  <si>
    <t>2000 grvl</t>
  </si>
  <si>
    <t>4800 grvl</t>
  </si>
  <si>
    <t>5000 grvl</t>
  </si>
  <si>
    <t xml:space="preserve">Deering </t>
  </si>
  <si>
    <t>3300 grvl</t>
  </si>
  <si>
    <t>Denali</t>
  </si>
  <si>
    <t>see McKinley Park</t>
  </si>
  <si>
    <t>6400 asph</t>
  </si>
  <si>
    <t>3600 grvl</t>
  </si>
  <si>
    <t>3200 grvl</t>
  </si>
  <si>
    <t>Ekuk</t>
  </si>
  <si>
    <t>1200 grvl-dirt</t>
  </si>
  <si>
    <t>3400 grvl</t>
  </si>
  <si>
    <t>Ellensburg</t>
  </si>
  <si>
    <t>Elmendorf</t>
  </si>
  <si>
    <t>Eureka Creek</t>
  </si>
  <si>
    <t>Eva Creek</t>
  </si>
  <si>
    <t>Everett</t>
  </si>
  <si>
    <t>Excursion Inlet Seaplane</t>
  </si>
  <si>
    <t xml:space="preserve">Fairbanks </t>
  </si>
  <si>
    <t>Fairbanks Metro</t>
  </si>
  <si>
    <t>Fort Wainwright</t>
  </si>
  <si>
    <t>Farewell Lake</t>
  </si>
  <si>
    <t xml:space="preserve">Feather River </t>
  </si>
  <si>
    <t>Fingerlake Seaplane</t>
  </si>
  <si>
    <t>Fox</t>
  </si>
  <si>
    <t>Fredericks Point</t>
  </si>
  <si>
    <t>Friday Harbor</t>
  </si>
  <si>
    <t>Funter Bay Seaplane</t>
  </si>
  <si>
    <t>Gambell</t>
  </si>
  <si>
    <t>Glacier Creek</t>
  </si>
  <si>
    <t>Glennallen</t>
  </si>
  <si>
    <t>Goose Bay</t>
  </si>
  <si>
    <t>Granite Mountain AS</t>
  </si>
  <si>
    <t>Greens Strip</t>
  </si>
  <si>
    <t>Greg and Sage</t>
  </si>
  <si>
    <t>Gustavus</t>
  </si>
  <si>
    <t>Haines Junction</t>
  </si>
  <si>
    <t>Hannum Creek</t>
  </si>
  <si>
    <t>Harlequin Lake</t>
  </si>
  <si>
    <t>see Yakutat</t>
  </si>
  <si>
    <t>Herendeen Bay</t>
  </si>
  <si>
    <t>Indian Mountain LRRS</t>
  </si>
  <si>
    <t>Inigok</t>
  </si>
  <si>
    <t>Jakolof Bay</t>
  </si>
  <si>
    <t>Jensens</t>
  </si>
  <si>
    <t>Jonesville Mine</t>
  </si>
  <si>
    <t>Kachemak</t>
  </si>
  <si>
    <t>Kake</t>
  </si>
  <si>
    <t>Kalakaket Creek</t>
  </si>
  <si>
    <t>Stampede</t>
  </si>
  <si>
    <t>Kelso</t>
  </si>
  <si>
    <t>Kiana</t>
  </si>
  <si>
    <t>King Cove</t>
  </si>
  <si>
    <t>King Salmon</t>
  </si>
  <si>
    <t>Kipnuk</t>
  </si>
  <si>
    <t>Kivalina</t>
  </si>
  <si>
    <t>Klawock</t>
  </si>
  <si>
    <t>Kobuk</t>
  </si>
  <si>
    <t>Kodiak</t>
  </si>
  <si>
    <t>Kodiak Muni</t>
  </si>
  <si>
    <t>Kokhanok</t>
  </si>
  <si>
    <t>Koliganek</t>
  </si>
  <si>
    <t>Kongiganak</t>
  </si>
  <si>
    <t>Kotlik</t>
  </si>
  <si>
    <t>Kotzebue</t>
  </si>
  <si>
    <t>Koyuk</t>
  </si>
  <si>
    <t>Koyukuk</t>
  </si>
  <si>
    <t>Kulik Lake</t>
  </si>
  <si>
    <t>Kuparuk</t>
  </si>
  <si>
    <t>Kvichak</t>
  </si>
  <si>
    <t>Kwethluk</t>
  </si>
  <si>
    <t>Kwigillingok</t>
  </si>
  <si>
    <t>Ladd AAF</t>
  </si>
  <si>
    <t xml:space="preserve">Lake Hood </t>
  </si>
  <si>
    <t xml:space="preserve">Lake Louise </t>
  </si>
  <si>
    <t xml:space="preserve">Larsen Bay </t>
  </si>
  <si>
    <t>Lawing</t>
  </si>
  <si>
    <t>Lazy Bay</t>
  </si>
  <si>
    <t>Levelock</t>
  </si>
  <si>
    <t>Lime Village</t>
  </si>
  <si>
    <t>Livengood</t>
  </si>
  <si>
    <t>Lonely AS</t>
  </si>
  <si>
    <t>Lost River</t>
  </si>
  <si>
    <t>Lost River 2</t>
  </si>
  <si>
    <t>Manley Hot Springs</t>
  </si>
  <si>
    <t>Manokotek</t>
  </si>
  <si>
    <t>Marshall</t>
  </si>
  <si>
    <t>Masset</t>
  </si>
  <si>
    <t>May Creek</t>
  </si>
  <si>
    <t>Mayo</t>
  </si>
  <si>
    <t>McCarthy</t>
  </si>
  <si>
    <t>McChord AFB</t>
  </si>
  <si>
    <t>McGrath</t>
  </si>
  <si>
    <t>McGrath Seaplane</t>
  </si>
  <si>
    <t>Nixon Fork Mine</t>
  </si>
  <si>
    <t>Mekoryuk</t>
  </si>
  <si>
    <t>Merrill Field</t>
  </si>
  <si>
    <t>Metlakatla</t>
  </si>
  <si>
    <t>Middleton Island</t>
  </si>
  <si>
    <t>Minchumina</t>
  </si>
  <si>
    <t>Minto</t>
  </si>
  <si>
    <t>Moose Pass</t>
  </si>
  <si>
    <t>Mountain Village</t>
  </si>
  <si>
    <t>Nakeen</t>
  </si>
  <si>
    <t>Naknek</t>
  </si>
  <si>
    <t>Tibbetts</t>
  </si>
  <si>
    <t>Nanwalek</t>
  </si>
  <si>
    <t>Napakiak</t>
  </si>
  <si>
    <t>Napaskiak</t>
  </si>
  <si>
    <t>Nelson Lagoon</t>
  </si>
  <si>
    <t>Nenana</t>
  </si>
  <si>
    <t>New Stuyahok</t>
  </si>
  <si>
    <t>Newtok</t>
  </si>
  <si>
    <t xml:space="preserve">Nightmute </t>
  </si>
  <si>
    <t>1000 grvl</t>
  </si>
  <si>
    <t>4700 grvl</t>
  </si>
  <si>
    <t>4000 asph</t>
  </si>
  <si>
    <t>4000 grvl</t>
  </si>
  <si>
    <t>1900 turf</t>
  </si>
  <si>
    <t>3000 grvl</t>
  </si>
  <si>
    <t>2100 grvl</t>
  </si>
  <si>
    <t>4100 grvl</t>
  </si>
  <si>
    <t>3500 grvl</t>
  </si>
  <si>
    <t>5000 asph</t>
  </si>
  <si>
    <t>2500 asph</t>
  </si>
  <si>
    <t>1900 grvl</t>
  </si>
  <si>
    <t>4400 grvl</t>
  </si>
  <si>
    <t>5900 asph</t>
  </si>
  <si>
    <t>4000 grvl-dirt</t>
  </si>
  <si>
    <t>4300 grvl</t>
  </si>
  <si>
    <t>6000 grvl</t>
  </si>
  <si>
    <t>2500 grvl</t>
  </si>
  <si>
    <t>8600 asph</t>
  </si>
  <si>
    <t>700 grvl</t>
  </si>
  <si>
    <t>2200 grvl</t>
  </si>
  <si>
    <t>Nikolai</t>
  </si>
  <si>
    <t>Nikolski</t>
  </si>
  <si>
    <t>Ninilchik</t>
  </si>
  <si>
    <t>2400 dirt-grvl</t>
  </si>
  <si>
    <t>Noatak</t>
  </si>
  <si>
    <t>Nome</t>
  </si>
  <si>
    <t>Nome City Field</t>
  </si>
  <si>
    <t>NonDalton</t>
  </si>
  <si>
    <t>Noorvik</t>
  </si>
  <si>
    <t>North Pole</t>
  </si>
  <si>
    <t>4100 trtd grvl</t>
  </si>
  <si>
    <t>Northway</t>
  </si>
  <si>
    <t>Nugget Bench</t>
  </si>
  <si>
    <t>1200 grvl</t>
  </si>
  <si>
    <t>Nuiqsut</t>
  </si>
  <si>
    <t>Nulato</t>
  </si>
  <si>
    <t>Nunapitchuk</t>
  </si>
  <si>
    <t>Oak Harbor</t>
  </si>
  <si>
    <t>Old Crow</t>
  </si>
  <si>
    <t>4900 grvl</t>
  </si>
  <si>
    <t xml:space="preserve">Old Harbor </t>
  </si>
  <si>
    <t>Opir</t>
  </si>
  <si>
    <t>Ousinkie</t>
  </si>
  <si>
    <t xml:space="preserve">Palmer </t>
  </si>
  <si>
    <t>Paxson</t>
  </si>
  <si>
    <t>Pedro Bay</t>
  </si>
  <si>
    <t>Perryville</t>
  </si>
  <si>
    <t>Petersburg</t>
  </si>
  <si>
    <t>6000 asph</t>
  </si>
  <si>
    <t>Pilot Point</t>
  </si>
  <si>
    <t>Ugashik Bay</t>
  </si>
  <si>
    <t xml:space="preserve">Pilot Station </t>
  </si>
  <si>
    <t>2300 grvl</t>
  </si>
  <si>
    <t>Pitt Meadows</t>
  </si>
  <si>
    <t>Platinum</t>
  </si>
  <si>
    <t>Point Hope</t>
  </si>
  <si>
    <t>Point Lay LRRS</t>
  </si>
  <si>
    <t>Point McIntyre</t>
  </si>
  <si>
    <t>1500 grvl</t>
  </si>
  <si>
    <t>Portage Creek</t>
  </si>
  <si>
    <t>Port Alsworth</t>
  </si>
  <si>
    <t>Port Graham</t>
  </si>
  <si>
    <t>Port Hardy</t>
  </si>
  <si>
    <t>2000 asph</t>
  </si>
  <si>
    <t>Port Heiden</t>
  </si>
  <si>
    <t>Port Lyons</t>
  </si>
  <si>
    <t xml:space="preserve">Port Moller </t>
  </si>
  <si>
    <t>Prince Rupert</t>
  </si>
  <si>
    <t>Prospect Creek</t>
  </si>
  <si>
    <t xml:space="preserve">Quail Creek </t>
  </si>
  <si>
    <t>1600 drt</t>
  </si>
  <si>
    <t>Port Clarence CGS</t>
  </si>
  <si>
    <t>Quinhagak</t>
  </si>
  <si>
    <t xml:space="preserve">Rainy Pass Lodge </t>
  </si>
  <si>
    <t>2100 drt</t>
  </si>
  <si>
    <t>Rampart</t>
  </si>
  <si>
    <t>Red Devil</t>
  </si>
  <si>
    <t>Red Dog</t>
  </si>
  <si>
    <t xml:space="preserve">Ross River </t>
  </si>
  <si>
    <t>5100 grvl</t>
  </si>
  <si>
    <t>Ruby</t>
  </si>
  <si>
    <t>Russian Mission</t>
  </si>
  <si>
    <t>2600 grvl</t>
  </si>
  <si>
    <t>Russian Mission Kako</t>
  </si>
  <si>
    <t>St George</t>
  </si>
  <si>
    <t xml:space="preserve">St Mary's </t>
  </si>
  <si>
    <t>St Michael</t>
  </si>
  <si>
    <t xml:space="preserve">St Paul Island </t>
  </si>
  <si>
    <t>6500 asph</t>
  </si>
  <si>
    <t>Sand Point</t>
  </si>
  <si>
    <t>Sand Spit</t>
  </si>
  <si>
    <t>5100 asph</t>
  </si>
  <si>
    <t>Savoonga</t>
  </si>
  <si>
    <t>Scammon Bay</t>
  </si>
  <si>
    <t>400 grvl</t>
  </si>
  <si>
    <t>Seattle</t>
  </si>
  <si>
    <t>Selawik</t>
  </si>
  <si>
    <t>Seldovia</t>
  </si>
  <si>
    <t>Seward</t>
  </si>
  <si>
    <t>Shageluk</t>
  </si>
  <si>
    <t>Shaktoolik</t>
  </si>
  <si>
    <t>Sheep Mtn</t>
  </si>
  <si>
    <t>Sheldon Point</t>
  </si>
  <si>
    <t>Shishmaref</t>
  </si>
  <si>
    <t>5000 asp</t>
  </si>
  <si>
    <t>Shungnak</t>
  </si>
  <si>
    <t>3000 gravel</t>
  </si>
  <si>
    <t>Silver City</t>
  </si>
  <si>
    <t>Sitka</t>
  </si>
  <si>
    <t>Skagway</t>
  </si>
  <si>
    <t>3500 asph</t>
  </si>
  <si>
    <t>Skwentna</t>
  </si>
  <si>
    <t xml:space="preserve">Sleetmute </t>
  </si>
  <si>
    <t>Soldotna</t>
  </si>
  <si>
    <t>South Naknek</t>
  </si>
  <si>
    <t>Sparrevohn LRRS</t>
  </si>
  <si>
    <t>Stebbins</t>
  </si>
  <si>
    <t xml:space="preserve">Scooters Landing </t>
  </si>
  <si>
    <t>2400 grvl</t>
  </si>
  <si>
    <t xml:space="preserve">Stevens Village </t>
  </si>
  <si>
    <t xml:space="preserve">Stewart </t>
  </si>
  <si>
    <t xml:space="preserve">Stony River </t>
  </si>
  <si>
    <t xml:space="preserve">Summit </t>
  </si>
  <si>
    <t>3800 grvl</t>
  </si>
  <si>
    <t>Sutton</t>
  </si>
  <si>
    <t>1400 grvl</t>
  </si>
  <si>
    <t>Takotna</t>
  </si>
  <si>
    <t>Talkeetna</t>
  </si>
  <si>
    <t>Tanacross</t>
  </si>
  <si>
    <t>Tanana</t>
  </si>
  <si>
    <t>Tatalina ARSS</t>
  </si>
  <si>
    <t>Tatitlek</t>
  </si>
  <si>
    <t>3700 grvl</t>
  </si>
  <si>
    <t>Tatitna</t>
  </si>
  <si>
    <t xml:space="preserve">Taylor Mountain Mine </t>
  </si>
  <si>
    <t>Tazlina</t>
  </si>
  <si>
    <t>900 grvl</t>
  </si>
  <si>
    <t>Telegraph Creek</t>
  </si>
  <si>
    <t xml:space="preserve">Telida </t>
  </si>
  <si>
    <t xml:space="preserve">Teller </t>
  </si>
  <si>
    <t>Terrace</t>
  </si>
  <si>
    <t>Teslin</t>
  </si>
  <si>
    <t>Thompson Pass</t>
  </si>
  <si>
    <t>2500 dirt-grvl</t>
  </si>
  <si>
    <t>Tin City LRRS</t>
  </si>
  <si>
    <t xml:space="preserve">Togiak </t>
  </si>
  <si>
    <t>Tok</t>
  </si>
  <si>
    <t>Tok 2</t>
  </si>
  <si>
    <t>Toksook Bay</t>
  </si>
  <si>
    <t>Tuluksak</t>
  </si>
  <si>
    <t>Tuntutuliak</t>
  </si>
  <si>
    <t>1899 grvl</t>
  </si>
  <si>
    <t>Tununak</t>
  </si>
  <si>
    <t>Twin Hills</t>
  </si>
  <si>
    <t>Tyonek</t>
  </si>
  <si>
    <t>Ugashik New</t>
  </si>
  <si>
    <t>3000 grvl??</t>
  </si>
  <si>
    <t>Umiat</t>
  </si>
  <si>
    <t>Unalakleet</t>
  </si>
  <si>
    <t>Unalaska</t>
  </si>
  <si>
    <t>3900 asph</t>
  </si>
  <si>
    <t>Valdez</t>
  </si>
  <si>
    <t>Venetie</t>
  </si>
  <si>
    <t>Wainwright</t>
  </si>
  <si>
    <t>Cape Lisbourne</t>
  </si>
  <si>
    <t>Wales</t>
  </si>
  <si>
    <t>Wasilla</t>
  </si>
  <si>
    <t>Andersen Lake 2200 grvl</t>
  </si>
  <si>
    <t>Whitehorse</t>
  </si>
  <si>
    <t>White Mountain</t>
  </si>
  <si>
    <t xml:space="preserve">Whittier </t>
  </si>
  <si>
    <t>Willow</t>
  </si>
  <si>
    <t>Woodcock</t>
  </si>
  <si>
    <t>3300 asph</t>
  </si>
  <si>
    <t>Wrangell</t>
  </si>
  <si>
    <t>Yakataga</t>
  </si>
  <si>
    <t>4300 turf</t>
  </si>
  <si>
    <t>Yakutat</t>
  </si>
  <si>
    <t>Yukon Charley River</t>
  </si>
  <si>
    <t>3700 asph</t>
  </si>
  <si>
    <t>BSW</t>
  </si>
  <si>
    <t>EMH</t>
  </si>
  <si>
    <t>SEM</t>
  </si>
  <si>
    <t xml:space="preserve">Chandalar </t>
  </si>
  <si>
    <t>CKD</t>
  </si>
  <si>
    <t>Deadhorse Alpine Strip</t>
  </si>
  <si>
    <t xml:space="preserve">Drift River </t>
  </si>
  <si>
    <t>EAA</t>
  </si>
  <si>
    <t>10,000 asph also Shemya</t>
  </si>
  <si>
    <t>EEK</t>
  </si>
  <si>
    <t>ELI</t>
  </si>
  <si>
    <t>EMM</t>
  </si>
  <si>
    <t>FAI</t>
  </si>
  <si>
    <t>KFP</t>
  </si>
  <si>
    <t>FWL</t>
  </si>
  <si>
    <t>FMC</t>
  </si>
  <si>
    <t>FLT</t>
  </si>
  <si>
    <t>FYU</t>
  </si>
  <si>
    <t>FOX</t>
  </si>
  <si>
    <t>5180 grvl</t>
  </si>
  <si>
    <t>EBH</t>
  </si>
  <si>
    <t>GAL</t>
  </si>
  <si>
    <t>GAM</t>
  </si>
  <si>
    <t>GLQ</t>
  </si>
  <si>
    <t>GLV</t>
  </si>
  <si>
    <t>GNU</t>
  </si>
  <si>
    <t>GMT</t>
  </si>
  <si>
    <t>KGX</t>
  </si>
  <si>
    <t>GKN</t>
  </si>
  <si>
    <t>GST</t>
  </si>
  <si>
    <t>HNS</t>
  </si>
  <si>
    <t>CYHT</t>
  </si>
  <si>
    <t>Healy Lake</t>
  </si>
  <si>
    <t>HKB</t>
  </si>
  <si>
    <t>HED</t>
  </si>
  <si>
    <t>HCR</t>
  </si>
  <si>
    <t>HNH</t>
  </si>
  <si>
    <t>HPB</t>
  </si>
  <si>
    <t>HUS</t>
  </si>
  <si>
    <t>HSL</t>
  </si>
  <si>
    <t>ICY</t>
  </si>
  <si>
    <t>ILI</t>
  </si>
  <si>
    <t>JNU</t>
  </si>
  <si>
    <t>KAE</t>
  </si>
  <si>
    <t>KKK</t>
  </si>
  <si>
    <t>KLG</t>
  </si>
  <si>
    <t>KAL</t>
  </si>
  <si>
    <t>KYK</t>
  </si>
  <si>
    <t>KUK</t>
  </si>
  <si>
    <t>ENA</t>
  </si>
  <si>
    <t>KTN</t>
  </si>
  <si>
    <t>IAN</t>
  </si>
  <si>
    <t>KVC</t>
  </si>
  <si>
    <t>AKN</t>
  </si>
  <si>
    <t>KVL</t>
  </si>
  <si>
    <t>KLW</t>
  </si>
  <si>
    <t>OBU</t>
  </si>
  <si>
    <t>ADQ</t>
  </si>
  <si>
    <t>92K</t>
  </si>
  <si>
    <t>Katmai Lodge</t>
  </si>
  <si>
    <t>9KT</t>
  </si>
  <si>
    <t>KKH</t>
  </si>
  <si>
    <t>KOT</t>
  </si>
  <si>
    <t>OTZ</t>
  </si>
  <si>
    <t>KKA</t>
  </si>
  <si>
    <t>KYU</t>
  </si>
  <si>
    <t>LKK</t>
  </si>
  <si>
    <t>UUK</t>
  </si>
  <si>
    <t>KWT</t>
  </si>
  <si>
    <t>KWK</t>
  </si>
  <si>
    <t>Lake Clark (Port Alsworth Strip)</t>
  </si>
  <si>
    <t>PTA</t>
  </si>
  <si>
    <t>9KY</t>
  </si>
  <si>
    <t>Keyes Point</t>
  </si>
  <si>
    <t>KLN</t>
  </si>
  <si>
    <t>LVD</t>
  </si>
  <si>
    <t>LSR</t>
  </si>
  <si>
    <t>MLL</t>
  </si>
  <si>
    <t>CZMT</t>
  </si>
  <si>
    <t>15Z</t>
  </si>
  <si>
    <t>MYK</t>
  </si>
  <si>
    <t>MCG</t>
  </si>
  <si>
    <t>MCL</t>
  </si>
  <si>
    <t>McKinley Park (Denali)</t>
  </si>
  <si>
    <t>3000 grvl but Denali is 4000 ft</t>
  </si>
  <si>
    <t>MY</t>
  </si>
  <si>
    <t>3070 grvl</t>
  </si>
  <si>
    <t>MDO</t>
  </si>
  <si>
    <t>3158 grvl</t>
  </si>
  <si>
    <t>MHM</t>
  </si>
  <si>
    <t>MNT</t>
  </si>
  <si>
    <t>MOU</t>
  </si>
  <si>
    <t>NNK</t>
  </si>
  <si>
    <t>WNA</t>
  </si>
  <si>
    <t>PKA</t>
  </si>
  <si>
    <t>ENN</t>
  </si>
  <si>
    <t>KNW</t>
  </si>
  <si>
    <t>WWT</t>
  </si>
  <si>
    <t>1600 grvl</t>
  </si>
  <si>
    <t>NME</t>
  </si>
  <si>
    <t>NIB</t>
  </si>
  <si>
    <t>3500 grvl-check strip conditions</t>
  </si>
  <si>
    <t>IKO</t>
  </si>
  <si>
    <t>NIN</t>
  </si>
  <si>
    <t>WTK</t>
  </si>
  <si>
    <t>OME</t>
  </si>
  <si>
    <t>Verified ?</t>
  </si>
  <si>
    <t>YES</t>
  </si>
  <si>
    <t>NO</t>
  </si>
  <si>
    <t>Charter Cost  --&gt;</t>
  </si>
  <si>
    <t>&lt;-- Select Airport Name</t>
  </si>
  <si>
    <t xml:space="preserve">  Verified ?</t>
  </si>
  <si>
    <t>7,542'  paved  - Fuel Account at Servant Air 478-4404 or Andrews 478-2566, Twr 478-4339, Auto Wx 478-2442, NOS Wx 478-4338, Rwy Main 539-7072, UPS 478-4404, ERA 478-4363,</t>
  </si>
  <si>
    <t>7,497 paved - Fuel Available (extra charge) Wx-247-8801</t>
  </si>
  <si>
    <t xml:space="preserve">7,575 paved  - Fuel Available - 1 Hour Minimum Flight Time/Flight Pay,  Aprt Manager 283-7951, Tower 283-7345, Auto Wx 283-6513,  UPS 283-5767, Everts 283-4502, </t>
  </si>
  <si>
    <t>TOG</t>
  </si>
  <si>
    <t>TSIU River</t>
  </si>
  <si>
    <t>Yes</t>
  </si>
  <si>
    <t>9SU</t>
  </si>
  <si>
    <t>4,000+  Sand Bar</t>
  </si>
  <si>
    <t>Wasilla - Andersen Lk</t>
  </si>
  <si>
    <t>xxx</t>
  </si>
  <si>
    <t>Closed to public  Airforce Station - PPR  - GSZ is official 3 letter - 2-3" rocks on runway - Up Hill landing.</t>
  </si>
  <si>
    <t>SIT</t>
  </si>
  <si>
    <t>CYMA</t>
  </si>
  <si>
    <t>Float Plane Base</t>
  </si>
  <si>
    <t>76Z</t>
  </si>
  <si>
    <t>800' runway near King Salmon</t>
  </si>
  <si>
    <t>Private 1,700 Dirt strip in Naknek</t>
  </si>
  <si>
    <t>4AK9</t>
  </si>
  <si>
    <t>KEB</t>
  </si>
  <si>
    <t>1,850' gvl - 25 miles past Homer</t>
  </si>
  <si>
    <t>94Z</t>
  </si>
  <si>
    <t>NLH</t>
  </si>
  <si>
    <t>ORV</t>
  </si>
  <si>
    <t>4000 grvl - Close to OTZ - Fuel 1/2 way there  in GAL or at OTZ</t>
  </si>
  <si>
    <t>ORT</t>
  </si>
  <si>
    <t>95Z</t>
  </si>
  <si>
    <t>5100 grvl-drt - check notams for runway length</t>
  </si>
  <si>
    <t>33Ak</t>
  </si>
  <si>
    <t>1200 grvl Private   (distance aproximate)</t>
  </si>
  <si>
    <t>NUI</t>
  </si>
  <si>
    <t>4300 grvl - just south east of Barrow</t>
  </si>
  <si>
    <t>NUL</t>
  </si>
  <si>
    <t>4,000' gvl - 33 mi west of Galena</t>
  </si>
  <si>
    <t>NUP</t>
  </si>
  <si>
    <t>2,000' gvl - 20 mi west of Bethel</t>
  </si>
  <si>
    <t>CYOC</t>
  </si>
  <si>
    <t>3200 Asph - Seattle area</t>
  </si>
  <si>
    <t>4,900 gvl - Canada</t>
  </si>
  <si>
    <t>OLH</t>
  </si>
  <si>
    <t>Z17</t>
  </si>
  <si>
    <t>1900 turf - Not Authorized for TNA Aircraft</t>
  </si>
  <si>
    <t>KOZ</t>
  </si>
  <si>
    <t>PAQ</t>
  </si>
  <si>
    <t>6,000' paved - 1 hour minimum all aircraft</t>
  </si>
  <si>
    <t>PDB</t>
  </si>
  <si>
    <t>3'000 gvl - North End of Lake Ilimina</t>
  </si>
  <si>
    <t>PSG</t>
  </si>
  <si>
    <t>PIP</t>
  </si>
  <si>
    <t>UGB</t>
  </si>
  <si>
    <t xml:space="preserve">Ugashik </t>
  </si>
  <si>
    <t>9AB</t>
  </si>
  <si>
    <t>5,300 gvl Rolland's Strip near Pilot Point?</t>
  </si>
  <si>
    <t xml:space="preserve">5300 grvl - Not usable anymore </t>
  </si>
  <si>
    <t>PQS</t>
  </si>
  <si>
    <t xml:space="preserve">2300 grvl  Near St. Mary's </t>
  </si>
  <si>
    <t>CYPK</t>
  </si>
  <si>
    <t>4700 asph CANADA</t>
  </si>
  <si>
    <t>PTU</t>
  </si>
  <si>
    <t>3,300'  grvl</t>
  </si>
  <si>
    <t>PHO</t>
  </si>
  <si>
    <t>4,000 asph - Icy in winter - Refuel in OTZ if reqd.</t>
  </si>
  <si>
    <t>PIZ</t>
  </si>
  <si>
    <t>3500 grvl - Refuel if reqd in OTZ</t>
  </si>
  <si>
    <t>AK11</t>
  </si>
  <si>
    <t>1500 grvl - near Deadhorse</t>
  </si>
  <si>
    <t>1900 grvl 2 runways - soft when wet - Near Dillingham</t>
  </si>
  <si>
    <t>PCA</t>
  </si>
  <si>
    <t>KPC</t>
  </si>
  <si>
    <t>4,500' asph  On coast north of Nome</t>
  </si>
  <si>
    <t>PGM</t>
  </si>
  <si>
    <t>State Ld Fee</t>
  </si>
  <si>
    <t>per 1,000 GTOW</t>
  </si>
  <si>
    <t>Delta Junction - All West</t>
  </si>
  <si>
    <t>AK77</t>
  </si>
  <si>
    <t xml:space="preserve">5500 grvl - Private Strip </t>
  </si>
  <si>
    <t>YPH</t>
  </si>
  <si>
    <t>PTH</t>
  </si>
  <si>
    <t>ORI</t>
  </si>
  <si>
    <t>PML</t>
  </si>
  <si>
    <t>CYPR</t>
  </si>
  <si>
    <t>PPC</t>
  </si>
  <si>
    <t>RMP</t>
  </si>
  <si>
    <t>RDV</t>
  </si>
  <si>
    <t>RDB</t>
  </si>
  <si>
    <t>CXRR</t>
  </si>
  <si>
    <t>RBY</t>
  </si>
  <si>
    <t>RSH</t>
  </si>
  <si>
    <t>KSM</t>
  </si>
  <si>
    <t>SDP</t>
  </si>
  <si>
    <t>CYZP</t>
  </si>
  <si>
    <t>SVA</t>
  </si>
  <si>
    <t>SCM</t>
  </si>
  <si>
    <t>SEA</t>
  </si>
  <si>
    <t>WLK</t>
  </si>
  <si>
    <t>SOV</t>
  </si>
  <si>
    <t>SWD</t>
  </si>
  <si>
    <t>SHX</t>
  </si>
  <si>
    <t>SKK</t>
  </si>
  <si>
    <t>SMU</t>
  </si>
  <si>
    <t>SXP</t>
  </si>
  <si>
    <t>SHH</t>
  </si>
  <si>
    <t>SHG</t>
  </si>
  <si>
    <t>SGY</t>
  </si>
  <si>
    <t>SKW</t>
  </si>
  <si>
    <t>SLQ</t>
  </si>
  <si>
    <t>SXQ</t>
  </si>
  <si>
    <t>3300 grvl  'regular Naknek = NKK 244</t>
  </si>
  <si>
    <t>WSN</t>
  </si>
  <si>
    <t>SWV</t>
  </si>
  <si>
    <t>WBB</t>
  </si>
  <si>
    <t>SVS</t>
  </si>
  <si>
    <t>CZST</t>
  </si>
  <si>
    <t>SRV</t>
  </si>
  <si>
    <t>UMM</t>
  </si>
  <si>
    <t>TCT</t>
  </si>
  <si>
    <t>TKA</t>
  </si>
  <si>
    <t>TAL</t>
  </si>
  <si>
    <t>TSG</t>
  </si>
  <si>
    <t>TEK</t>
  </si>
  <si>
    <t>TWE</t>
  </si>
  <si>
    <t>CYTX</t>
  </si>
  <si>
    <t>TLF</t>
  </si>
  <si>
    <t>TLA</t>
  </si>
  <si>
    <t>CYXT</t>
  </si>
  <si>
    <t>Terror Bay</t>
  </si>
  <si>
    <t>KTY</t>
  </si>
  <si>
    <t>CYZW</t>
  </si>
  <si>
    <t>TKJ</t>
  </si>
  <si>
    <t>OOK</t>
  </si>
  <si>
    <t>TLT</t>
  </si>
  <si>
    <t>WTL</t>
  </si>
  <si>
    <t>TNK</t>
  </si>
  <si>
    <t>TWA</t>
  </si>
  <si>
    <t>TYE</t>
  </si>
  <si>
    <t>9A8</t>
  </si>
  <si>
    <t>UMT</t>
  </si>
  <si>
    <t>UNK</t>
  </si>
  <si>
    <t>VDZ</t>
  </si>
  <si>
    <t>VEE</t>
  </si>
  <si>
    <t>WWA</t>
  </si>
  <si>
    <t>WAA</t>
  </si>
  <si>
    <t>WMO</t>
  </si>
  <si>
    <t>WOW</t>
  </si>
  <si>
    <t>Wood River</t>
  </si>
  <si>
    <t>Woodchopper</t>
  </si>
  <si>
    <t>WOD</t>
  </si>
  <si>
    <t>WOO</t>
  </si>
  <si>
    <t>WRG</t>
  </si>
  <si>
    <t>YAK</t>
  </si>
  <si>
    <t>3,300' On the coast past Emonak.  (Refuel stop BET if Required - adds about 15 miles to trip)</t>
  </si>
  <si>
    <t>Aircraft</t>
  </si>
  <si>
    <t>Metroliner</t>
  </si>
  <si>
    <t>Quote Date:</t>
  </si>
  <si>
    <t>3,280' slopes up 1.3% to North East located on Nushagak River</t>
  </si>
  <si>
    <r>
      <rPr>
        <b/>
        <sz val="10"/>
        <color indexed="8"/>
        <rFont val="Comic Sans MS"/>
        <family val="4"/>
      </rPr>
      <t>METRO RATE - $15,500 INCLUDING ALL TAXES AND FUEL</t>
    </r>
    <r>
      <rPr>
        <sz val="10"/>
        <color indexed="8"/>
        <rFont val="Comic Sans MS"/>
        <family val="4"/>
      </rPr>
      <t xml:space="preserve">  Fuel Available - Payloads predicated upon Weather and intermediate fuel stops -   (Use Return Payload for Each Way if good weather).  All A/C expect Metro require RON Charge.</t>
    </r>
  </si>
  <si>
    <t xml:space="preserve">                                                            Converted to Gallons</t>
  </si>
  <si>
    <t>Average</t>
  </si>
  <si>
    <t xml:space="preserve">Aircraft </t>
  </si>
  <si>
    <t>Reg #</t>
  </si>
  <si>
    <t>Taxi/TO</t>
  </si>
  <si>
    <t xml:space="preserve">1st hour </t>
  </si>
  <si>
    <t>2nd hour</t>
  </si>
  <si>
    <t>Hourly Charter Rate</t>
  </si>
  <si>
    <t xml:space="preserve">% Fuel </t>
  </si>
  <si>
    <t>N39TN</t>
  </si>
  <si>
    <t>Jet A</t>
  </si>
  <si>
    <t>N3114G</t>
  </si>
  <si>
    <t>N782C</t>
  </si>
  <si>
    <t>Super 3</t>
  </si>
  <si>
    <t>N30TN</t>
  </si>
  <si>
    <t>Av Gas</t>
  </si>
  <si>
    <t>N29TN</t>
  </si>
  <si>
    <t>N28TN</t>
  </si>
  <si>
    <t>N27TN</t>
  </si>
  <si>
    <t>TransNorthern Aviation - UPS Fuel calculations</t>
  </si>
  <si>
    <t>CYT</t>
  </si>
  <si>
    <t>6,000' paved - Fuel Available   METRO DISCOUNT RATE = $7,000 no fuel diff</t>
  </si>
  <si>
    <t>ANC</t>
  </si>
  <si>
    <t>Route</t>
  </si>
  <si>
    <t>Leg Dist</t>
  </si>
  <si>
    <t>Aircraft -&gt;</t>
  </si>
  <si>
    <t>Total Distance</t>
  </si>
  <si>
    <t>Total Time</t>
  </si>
  <si>
    <t>Total Cost</t>
  </si>
  <si>
    <t>Tax Type -&gt;</t>
  </si>
  <si>
    <t>Total Flight Time = Pilot Pay Time</t>
  </si>
  <si>
    <t>Total Time is in Hours and 100th of an hour.</t>
  </si>
  <si>
    <t>Time in</t>
  </si>
  <si>
    <t>Hr. &amp;  Min.</t>
  </si>
  <si>
    <t>Enter the leg distances in the "Leg Dist" column - up to 10 legs - blank or "0" legs don't affect totals</t>
  </si>
  <si>
    <t>Enter the 3 LTR identifier in the Route Column (Optional but helps to keep track)</t>
  </si>
  <si>
    <t>Use Pull-Down Menus</t>
  </si>
  <si>
    <t>Excise Tax -&gt;</t>
  </si>
  <si>
    <t>Total Charter Cost -&gt;</t>
  </si>
  <si>
    <t>Conveter</t>
  </si>
  <si>
    <t xml:space="preserve">You have to look up the distance somewhere else (in NMs)  example: http://www.world-airport-codes.com </t>
  </si>
  <si>
    <t>Miles -&gt; NMs</t>
  </si>
  <si>
    <t>KMs -&gt; NMs</t>
  </si>
  <si>
    <t>&lt;-- Hrs. Flight Time/Pilot Pay</t>
  </si>
  <si>
    <r>
      <t xml:space="preserve">  </t>
    </r>
    <r>
      <rPr>
        <i/>
        <u/>
        <sz val="11"/>
        <color indexed="8"/>
        <rFont val="Calibri"/>
        <family val="2"/>
      </rPr>
      <t>Note:  Standby and/or Extra Fuel Charges NOT included</t>
    </r>
  </si>
  <si>
    <t>YXY</t>
  </si>
  <si>
    <t>Fuel and Services available</t>
  </si>
  <si>
    <t>3,200 gravel</t>
  </si>
  <si>
    <t>Real Short and rough.</t>
  </si>
  <si>
    <t>EII</t>
  </si>
  <si>
    <t>STG</t>
  </si>
  <si>
    <t>UTO</t>
  </si>
  <si>
    <t>4,200 gvl - Airforce LRRS also called Utopia Creek - Requires PPR</t>
  </si>
  <si>
    <t>Utopia Creek</t>
  </si>
  <si>
    <t>4,200 gvl - Airforce LRRS also called Indian Mountain - Requires PPR</t>
  </si>
  <si>
    <t>Vancouver BC</t>
  </si>
  <si>
    <t>YVR</t>
  </si>
  <si>
    <t>On the airway - cuts about 80 mi direct.</t>
  </si>
  <si>
    <t>Attu (direct)</t>
  </si>
  <si>
    <t>Attu (50 nm shore via dutch)</t>
  </si>
  <si>
    <t>ATU</t>
  </si>
  <si>
    <t>5,000 paved (near Shymia)</t>
  </si>
  <si>
    <t>Barter Island</t>
  </si>
  <si>
    <t>4,8oo'    Also called Kacktovik</t>
  </si>
  <si>
    <t>BTI</t>
  </si>
  <si>
    <t>Kaktovik</t>
  </si>
  <si>
    <t>4,800 - Also know as Barter Island</t>
  </si>
  <si>
    <t>Sandy River Federal</t>
  </si>
  <si>
    <t>KSR</t>
  </si>
  <si>
    <t>NXF</t>
  </si>
  <si>
    <t>3,200 gravel (SOFT at one end)   Flt Plan Cords -&gt;5614/16023 Lodge: N 56 13.58  W 160 4.11  ch 72 VHF 123.45 Port Moller  257-2711</t>
  </si>
  <si>
    <t>5000 asph  code may be PAKW</t>
  </si>
  <si>
    <t>AKA</t>
  </si>
  <si>
    <t>4,000' x 75 New runway… GPS approach.</t>
  </si>
  <si>
    <t>4000 grvl  GPS Approach</t>
  </si>
  <si>
    <t>DRY Rate</t>
  </si>
  <si>
    <t>JZZ</t>
  </si>
  <si>
    <t>4200 asph  (VFR distance via East end of Skilak Lake)  IFR MUCH farther</t>
  </si>
  <si>
    <t>ZNC</t>
  </si>
  <si>
    <t>3650 x 100 ft -  gvl - 60 East of Bethel in Mts.  Tuluksak Dredging Co</t>
  </si>
  <si>
    <t>Nyac</t>
  </si>
  <si>
    <t>Volpar</t>
  </si>
  <si>
    <t>Granite Creek Mine</t>
  </si>
  <si>
    <t>VWZ</t>
  </si>
  <si>
    <t xml:space="preserve">  </t>
  </si>
  <si>
    <t>Illinois Creek Mine</t>
  </si>
  <si>
    <t xml:space="preserve">4,000'ish slightly uphill to the south.  On top of ridge </t>
  </si>
  <si>
    <t>ZXF</t>
  </si>
  <si>
    <t>Akutan</t>
  </si>
  <si>
    <t>PAUT</t>
  </si>
  <si>
    <t xml:space="preserve">New 4,500' paved 75' wide . Rwy 9  is  up hill.  Left Traffic No lights (36 NM east of Dutch)  Arpt Manager In DUT Steve Berminger </t>
  </si>
  <si>
    <t>PAPE  -  3,300'  gvl GPS approach 60 NM to Sand Point  65 NM to Port Heiden</t>
  </si>
  <si>
    <t>PEV</t>
  </si>
  <si>
    <t>9Z8</t>
  </si>
  <si>
    <t>AQH</t>
  </si>
  <si>
    <t xml:space="preserve">4,000'  58 NM East of Nome </t>
  </si>
  <si>
    <t>4000 grvl - ADD Village Landing Fee to Quotes $30 for twin June-Oct. (907-556-8165) - Refuel in Dillingham if required.</t>
  </si>
  <si>
    <t>4,000 paved… Airport closed to over 12,500# aircraft except with prior approval.  907-245-1786 (DOT JNU)</t>
  </si>
  <si>
    <t>Donlin Creek Mine</t>
  </si>
  <si>
    <t>FVQ</t>
  </si>
  <si>
    <t>No</t>
  </si>
  <si>
    <t>4900' gvl  463' -&gt; 733'  (Aprt 907-357-6100 (lcl # patch to mine for Wx)  SLQ for Wx 449-4226 36NM S.E.</t>
  </si>
  <si>
    <t>Between Brevic Mission and Tin City out of Nome. Gravel, Poor Condition  coarse loose gravel, rocks to 6", sfc ireg &amp; rough</t>
  </si>
  <si>
    <t>AK45</t>
  </si>
  <si>
    <t>Old airport down by the ocean?</t>
  </si>
  <si>
    <t>50 NM SW MCG  uphill 3,800' dirt with dog leg.  L.E. &amp; Barb  Wyrick 1-480-768-2500 then enter 8816-3251-6138  cords =6222/15656</t>
  </si>
  <si>
    <t xml:space="preserve">    </t>
  </si>
  <si>
    <t>Point Thompson</t>
  </si>
  <si>
    <t>37AA</t>
  </si>
  <si>
    <t>5,000 x 150' gravel 45 NM east of Deashorse</t>
  </si>
  <si>
    <t>AWI</t>
  </si>
  <si>
    <t>4,400  grvl - Refuel in Barrow 75 Nm away</t>
  </si>
  <si>
    <t>KEK</t>
  </si>
  <si>
    <t>Stepovak Bay</t>
  </si>
  <si>
    <t>4,800+ grvl (soft) old exploration strip just past Perry ville.   Preston and Stacie Cavner Stonewood Lodge  907-444-3892,  223-9386, 781-3030</t>
  </si>
  <si>
    <t>Weight from Lookup</t>
  </si>
  <si>
    <t>UPS CHARTER company "TNA FEE" = 5% add</t>
  </si>
  <si>
    <t>Base</t>
  </si>
  <si>
    <t>UPS Price</t>
  </si>
  <si>
    <t>Dry Bay</t>
  </si>
  <si>
    <t>3AK</t>
  </si>
  <si>
    <t>41 Nm SE of Yakutat  (Possible High Trees and 500' unusable due to bend).. MUST inspect before 1st flight</t>
  </si>
  <si>
    <t>6500 asph  NOTE:  Add 10% to quote for IFR trip routing.</t>
  </si>
  <si>
    <t>Stephen Lake Lodge</t>
  </si>
  <si>
    <t>AK61</t>
  </si>
  <si>
    <t>70 NM from PAQ, 40 NM fm TKA  Airstrip under construction.  Airport Elevation 2,000' MSL??   Jim Bailey 696-2163</t>
  </si>
  <si>
    <t>3500' gravel (check turn around)</t>
  </si>
  <si>
    <t xml:space="preserve">or www.Skyvector.com </t>
  </si>
  <si>
    <t>NOTES:</t>
  </si>
  <si>
    <t>Base Charter Cost -&gt;</t>
  </si>
  <si>
    <t>Fuel Cost -&gt;</t>
  </si>
  <si>
    <t>N404CK</t>
  </si>
  <si>
    <t>Fairbanks IFR trip</t>
  </si>
  <si>
    <t>229 NM</t>
  </si>
  <si>
    <t>Trip Leg</t>
  </si>
  <si>
    <t>Ga. Reqd</t>
  </si>
  <si>
    <t>Payload</t>
  </si>
  <si>
    <t>lb/gal</t>
  </si>
  <si>
    <t>Time</t>
  </si>
  <si>
    <t xml:space="preserve">Metro </t>
  </si>
  <si>
    <t>Super</t>
  </si>
  <si>
    <t>Duat</t>
  </si>
  <si>
    <t>Quote Book</t>
  </si>
  <si>
    <t>Trip Time</t>
  </si>
  <si>
    <t>Charter Cost</t>
  </si>
  <si>
    <t>Fuel For Tax Computing</t>
  </si>
  <si>
    <t>Ave Gallons per hour for taxes</t>
  </si>
  <si>
    <t>5600 grvl - OK to quote ALL aircraft  (High Cost Fuel Available in King Salmon - 40 NM North)</t>
  </si>
  <si>
    <t>EDF</t>
  </si>
  <si>
    <t xml:space="preserve">High Priced Fuel Available </t>
  </si>
  <si>
    <t>8400 asph - Fuel Available</t>
  </si>
  <si>
    <t xml:space="preserve">Private Strip on Lake Clark </t>
  </si>
  <si>
    <t>3400 grvl - Fuel available at OTZ - Runway gets Soft during Breakup</t>
  </si>
  <si>
    <t>2500 asph  OK for B99 or Volpar</t>
  </si>
  <si>
    <t>3000 grvl  Frost Heaves on Runway… Fuel may be available from Bo in DLG</t>
  </si>
  <si>
    <t>I</t>
  </si>
  <si>
    <t>Freight Tax on Air Charter</t>
  </si>
  <si>
    <t>Passenger Tax on Air Charter</t>
  </si>
  <si>
    <t>Total Cost for Freight Trip</t>
  </si>
  <si>
    <t>Total Cost for Passenger Trip</t>
  </si>
  <si>
    <t>2700 grvl  Max load TO KLN in Super 4,500 - FROM KLN 3,500 LBS Max (Typically 12 passengers)</t>
  </si>
  <si>
    <t>Fuel Quote</t>
  </si>
  <si>
    <t>Tax</t>
  </si>
  <si>
    <t>Quote</t>
  </si>
  <si>
    <t>pax tax</t>
  </si>
  <si>
    <t xml:space="preserve">frt tax </t>
  </si>
  <si>
    <t>Result</t>
  </si>
  <si>
    <t>diff -&gt;</t>
  </si>
  <si>
    <t>Frt</t>
  </si>
  <si>
    <t>(Pax or Frt)</t>
  </si>
  <si>
    <t>Portland, OR</t>
  </si>
  <si>
    <t>PDX</t>
  </si>
  <si>
    <t>Quote via Fuel Stop in BFI - could also fuel stop in KTN probably.</t>
  </si>
  <si>
    <t>4000 grvl - faa 3ltr = 2C7</t>
  </si>
  <si>
    <t>For Reposition to and from MRI for charter in B99 Q=$375, F=$125 T= $23.44 (6.25%)  PP = .5 (ADDED to Charter from ANC price)</t>
  </si>
  <si>
    <t>B99</t>
  </si>
  <si>
    <t>3,300 ' new runway in 2012  (contact may be Charlie at 907-298-2223 - pilot with lodge there)</t>
  </si>
  <si>
    <t>3AK5</t>
  </si>
  <si>
    <t>AJC</t>
  </si>
  <si>
    <t>2,600' gravel - probably soft.  Check with LCA about rw conditions?</t>
  </si>
  <si>
    <t>Contact James Kerns at UIC Arctic Resonse 865-4955 .  He may have stuff to add to a charter.</t>
  </si>
  <si>
    <t xml:space="preserve"> 4500 x 100 ft. Surface:  asphalt/grooved - Fuel Dutch or Cold Bay  (PAKA)       5/2015 - Metro = 830 gal rt/with 2 stops @ CDB</t>
  </si>
  <si>
    <t>3400 grvl - Quoted $2,500 for Freighter Super.   Limited TAKEOFF WEIGHT</t>
  </si>
  <si>
    <t>Reserves</t>
  </si>
  <si>
    <t xml:space="preserve"> </t>
  </si>
  <si>
    <t>3300' good runway on Nushakiak River just down stream from New Stuyahok</t>
  </si>
  <si>
    <t>OUL</t>
  </si>
  <si>
    <t xml:space="preserve"> Also ID - NLG or PAOU  -  4000 grvl - Near Port Moler</t>
  </si>
  <si>
    <t>4400 grvl (conquest - $5,775 ish)</t>
  </si>
  <si>
    <t>Add $400 for ENA stop wet ($300 dry)</t>
  </si>
  <si>
    <t>SMK</t>
  </si>
  <si>
    <t>4000' gravel with GPS approach - should be OK for Metro.</t>
  </si>
  <si>
    <t>TNC</t>
  </si>
  <si>
    <t>Leg Hours</t>
  </si>
  <si>
    <t>Trading Bay</t>
  </si>
  <si>
    <t>Wiskey Bravo Mine</t>
  </si>
  <si>
    <t>3,000' large gravel  - NO Metros - See alan's computer Quote Folder for previous quote</t>
  </si>
  <si>
    <t>PFKK designator - 3300' grvl  (payload TO ANC with Super 3,500 max)</t>
  </si>
  <si>
    <t>Badami</t>
  </si>
  <si>
    <t>PABP</t>
  </si>
  <si>
    <t>Fuel Avialable in Deadhorse  30 NM west</t>
  </si>
  <si>
    <t>3400 grvl Payload OUT of SLQ - Super 3,500, Volpar 3,000 lbs, B99 2,500 lbs ~ predicated on wind direction, etc.</t>
  </si>
  <si>
    <t>Owned by Hilcorp  - Aproximately 4,100 gravel - Just west of Tuxindy Island  (Add $800+$50tax for ENA stop in Super)</t>
  </si>
  <si>
    <t>4AK1</t>
  </si>
  <si>
    <t xml:space="preserve">5,000 dirt about 95 NM West of Deadhorse - 100 NM SE of Barrow </t>
  </si>
  <si>
    <t>6400 Paved - can turn at FreshWater Adventures - Jerry Ball</t>
  </si>
  <si>
    <t>2,200' - Building new village 9 miles South called Mertarvik</t>
  </si>
  <si>
    <t>Mertarvik</t>
  </si>
  <si>
    <t>New Village of Newtok on Nelson Island  - No Runway yet (2017)</t>
  </si>
  <si>
    <t>6500 asph - MUST be equipped for Extended Overwater Flight Operations.</t>
  </si>
  <si>
    <t>5000 asph - MUST be equipped for Extended Overwater Flight Operations.</t>
  </si>
  <si>
    <t>6,700 paved 30 Miles West of Junea</t>
  </si>
  <si>
    <t>TLJ</t>
  </si>
  <si>
    <t>3820 x 150 gvl 10 miles west of McGrath</t>
  </si>
  <si>
    <t>10,004 x 150' paved/maintained  ILS with 200-1/2 mims            ADK alternate 350NM   All extended Over water route</t>
  </si>
  <si>
    <t>MBA</t>
  </si>
  <si>
    <t>3,300 Gravel - Just past Dillingham</t>
  </si>
  <si>
    <t>3000 x 50 feet  Towards Tok.  Turf-gravel in poor condition - 24" trees, loose 5" rocks, ruts etc.  Crappy approaches due to high trees</t>
  </si>
  <si>
    <t>Metro</t>
  </si>
  <si>
    <t>2800 grvl - South End of Lake Clark - Limit ANC-NLH payload to 6,500 lbs in and 2,000 out.</t>
  </si>
  <si>
    <t>4200 grvl - Landing fee required to be paid by customer  - Lake &amp; Penn 781-2228  Landing Fee for Super is $220 (jan 2018)</t>
  </si>
  <si>
    <t>IIK</t>
  </si>
  <si>
    <t>3200 gravel - only 60' wide</t>
  </si>
  <si>
    <t>ZULU Madeup distance</t>
  </si>
  <si>
    <t>N/A</t>
  </si>
  <si>
    <t>XYZ</t>
  </si>
  <si>
    <t>Crew</t>
  </si>
  <si>
    <t>Insurance</t>
  </si>
  <si>
    <t>Fuel Available - OK to use for "Return Payload" value from ANC with NO extra Fuel Charge.  Eskimos Inc 2/15/19 Call out Fee $75 Day/$205 night $5.90/gal Jet A</t>
  </si>
  <si>
    <t>Fuel Cost/Gal</t>
  </si>
  <si>
    <t>Update these Prices Below</t>
  </si>
  <si>
    <t>Fuel Leg Cost</t>
  </si>
  <si>
    <t>Dry Leg Cost</t>
  </si>
  <si>
    <t>Pay Leg Time</t>
  </si>
  <si>
    <t>Basic Dry Charter Cost -&gt;</t>
  </si>
  <si>
    <t>Totals -&gt;</t>
  </si>
  <si>
    <t>Number of Landing Fees -&gt;</t>
  </si>
  <si>
    <t>Total Base Dry Rate  -&gt;</t>
  </si>
  <si>
    <t>Wet Rates</t>
  </si>
  <si>
    <t>Dry Rates</t>
  </si>
  <si>
    <t>2019 - FAI - $2.06 - ANC - $2.58</t>
  </si>
  <si>
    <t>$2.06 for B99  and all AC @ FAI</t>
  </si>
  <si>
    <t>2.58 for Metros and Supers in ANC</t>
  </si>
  <si>
    <t>4,600' soft, rutted.  Add $400 Loading Fee for Super, Route includes extra 50 miles for decent towards MCG, April 2019 Desert Air Quoted $5,000, AATransit $2830 for 8 pax (Navajo?)</t>
  </si>
  <si>
    <t>2015??</t>
  </si>
  <si>
    <t>2016??</t>
  </si>
  <si>
    <t>2014??</t>
  </si>
  <si>
    <t>Other</t>
  </si>
  <si>
    <t>Notes</t>
  </si>
  <si>
    <t>Was Labeled as 2012 Rate in old quoter but believed to be 2014 actually</t>
  </si>
  <si>
    <t>Was Labeled as 12/30/2015 Dry rates but believed to be 2015 Wet Rates</t>
  </si>
  <si>
    <t>Was derieved from a known 2.5% increase to the known 2017 rates</t>
  </si>
  <si>
    <t>Total Before Tax -&gt;</t>
  </si>
  <si>
    <t>Thank you for considering
TransNorthern Aviation
for your Charter needs!</t>
  </si>
  <si>
    <t>Charter Quote for transportation between ANCHORAGE &amp;</t>
  </si>
  <si>
    <t>TaxRate</t>
  </si>
  <si>
    <t>3,300 soft gravel… Narrow - No Metro..Check runway conditions with Lodge before Ops. Cordinates:  59.09N 156.46W  - south ramp.  Lodge phone 246-1527, 1528  Bob's Cell 949-636-3688</t>
  </si>
  <si>
    <t>5000 grvl  2019 Jet from PTH Utilies $6.20/gal 907-837-2209 (av gas also)</t>
  </si>
  <si>
    <t>8500 Asphalt, Refuel with Egle Air  (ARL Super $8,651.16 + 648.84 = $9300.00, Metro $5,720.93 + 429.07 = $6150)</t>
  </si>
  <si>
    <t>OK to take 3000 lbs in Metro with refueling in GNU.  2017 ACE charged $5970 for pax 6-17.  Payload for Super Max 4,000# fm GNU with no wind  (2020 GRL Super 12,604.65 + 945.35 = $13,550.00 and Metro $7,674.42 + 575.58 = $8,250.00)</t>
  </si>
  <si>
    <t>1 Way NM dist</t>
  </si>
  <si>
    <t xml:space="preserve">5,000' Gravel-Dirt in Good Condition  </t>
  </si>
  <si>
    <t>4000 grvl   (B99 ANC-MRI-NIB-MRI-ANC for aat = 2.6 HR)  Aug 2020 Freighter $6,840 for 6,700#s</t>
  </si>
  <si>
    <t>Turn at AK Aerofuel - UPS - use UPS sheet  (FEDEx volpar 2020 $4,750/trip)</t>
  </si>
  <si>
    <t>3.400 good condition between Unlakleet and Nome</t>
  </si>
  <si>
    <t>3,100 Gravel… No Metro - Super -&gt; 5,500 lbs PAX fm ANC,  6,250 lbs FRT fm ANC                                                                                                 ASL 2020 - Super $7,348.84 + $551.16 =$7,900, Beech 99 $3,906.98 + $293.02 = $4,200,  Volpar = $4,517.65 + 282.35 =$4,800.00                      Charge $250 extra "loading fee" for Freight in the Super if Both Directions utilized by customer.</t>
  </si>
  <si>
    <t>Update Date:</t>
  </si>
  <si>
    <t>Apryel - 907-429-8088 (Freight Mover for UPS),   Randy has a 206 907-429-4915,</t>
  </si>
  <si>
    <t>6000 asph  Steve Purnell (Alpine Express) Freight handler - 907-305-0095 - Fuel = 907-874-2388</t>
  </si>
  <si>
    <t>6,000' asph - Joe Pruch City Cargo Express  907-772-3010,  Hillary MacDonald -  Tonka Toy Fueling - 907-518-1474</t>
  </si>
  <si>
    <t>7700 asph - Bob Miller  Yakutat Aviation 907-784-3087 - cell 410-7222  - Fuel and Freight moving</t>
  </si>
  <si>
    <t>5AK0</t>
  </si>
  <si>
    <t xml:space="preserve">Load Fee </t>
  </si>
  <si>
    <t>4,000 gravel - No Metro. - $400 Hilcorp Load Fee  ANC-ENA-TDB-ANC Super3 Min $5,500.</t>
  </si>
  <si>
    <t>Kingair 200</t>
  </si>
  <si>
    <t>Super 3 fuel = $500 CDB stop + $75/100 lbs over 3,000#s to 4500# then $75/lb + $1000 for 2 CDB stops.   Dena'ina Wet  METRO Rate = $5,500 No FET  (Dena'ina has fuel at DUT)</t>
  </si>
  <si>
    <t xml:space="preserve">Dena'ina Wet  METRO Rate = $5,500 No FET.    Fuel Frosty = 907-532-2467 </t>
  </si>
  <si>
    <t>5200 asph  (Fuel - Paul  office 907-383-2026  cell 383-8150) -.   Dena'ina Wet  METRO Rate = $5,500 No FET</t>
  </si>
  <si>
    <t>King air</t>
  </si>
  <si>
    <t>2020 Wet RATES -&gt;</t>
  </si>
  <si>
    <t>Fuel Costs per $$ fm chart to the left -&gt;</t>
  </si>
  <si>
    <t xml:space="preserve">Dry Rates  --&gt; </t>
  </si>
  <si>
    <t>UPS Guess</t>
  </si>
  <si>
    <t>3700 grvl Metro max KVC-&gt;ANC payload 3,000 with fuel stop at CDB.   4,250#s in the Super withno fuel stop.  (GTOW 29,000#s)</t>
  </si>
  <si>
    <t>Flt Hr</t>
  </si>
  <si>
    <t>Hr Rate</t>
  </si>
  <si>
    <t>Enter "0" in this cell for Dry Rate.   (Besure to hit the UNDO botton after getting a Dry quote before saving the workbook)</t>
  </si>
  <si>
    <t>Unofficial 4,200' good condition gvl - On Kodiak Island (refuel if reqd in ADQ) Kodiak Sportsman's Lodge 286-9246 or Rick 242-6506        OK for all aircraft now but NO instrument approaches</t>
  </si>
  <si>
    <t xml:space="preserve"> 3,800' one way slightly uphill on top of 1,500' mountain                                  (Faa ID=K40)  808-457-2046 Callie</t>
  </si>
  <si>
    <t>King Air 200</t>
  </si>
  <si>
    <t>Max Pax Seats</t>
  </si>
  <si>
    <t>Navajo</t>
  </si>
  <si>
    <t>Annual Increase %</t>
  </si>
  <si>
    <t>Current Rates -&gt;</t>
  </si>
  <si>
    <t>Increase $$</t>
  </si>
  <si>
    <t>2022 Rates</t>
  </si>
  <si>
    <t>Note:  Rates are rounded up to the nearest dollar from the values calculated above.</t>
  </si>
  <si>
    <t>TO Fuel Pounds</t>
  </si>
  <si>
    <t>King Air</t>
  </si>
  <si>
    <t xml:space="preserve">Volpar </t>
  </si>
  <si>
    <t>All Cargo $ with Tax</t>
  </si>
  <si>
    <t>Pax Trip with Tax</t>
  </si>
  <si>
    <t>OW</t>
  </si>
  <si>
    <t>RT</t>
  </si>
  <si>
    <t>Aircraft Wet Base Hrly Rate --&gt;</t>
  </si>
  <si>
    <t>Edit this area and put whatever specific notes for a Customer's Quote in this area then cut and paste the Quote to Send in Email or Msg.</t>
  </si>
  <si>
    <t>Program NOTES:</t>
  </si>
  <si>
    <t>The weights are rounded down to the nearest 10 lbs.  They SHOULD be consertative</t>
  </si>
  <si>
    <t>The Prices are rounded down to the nearest $5 bucks  This means that the accountant has to do the math for the ACTUAL tax breakdown on the Invoice.   IF you want to make an inovice go to the TAX CALCULATOR page in this workbook and enter the Charter Price Quoted and select type of Tax to get the Billing Numbers</t>
  </si>
  <si>
    <r>
      <t xml:space="preserve">Be sure to never give a customer a quote with a payload &gt; 7,500#s.  That's the max limit for Part 135 ops.   Be careful quoting more than 2,500# payload for KingAir due to ZFW limits.  Payloads on this page are based on Max payload with min crew and 45 minutes reserve fuel PLUS fuel calculations on AIRCRAFT VARIABLES tab.  </t>
    </r>
    <r>
      <rPr>
        <b/>
        <sz val="11"/>
        <color theme="1"/>
        <rFont val="Comic Sans MS"/>
        <family val="4"/>
      </rPr>
      <t>Usually they are a bit conservative but CHECK with Crew to confirm specific for a trip in any doupt.</t>
    </r>
  </si>
  <si>
    <t>Actual Cost:</t>
  </si>
  <si>
    <t>MRI</t>
  </si>
  <si>
    <t>Standard</t>
  </si>
  <si>
    <t>Heavy</t>
  </si>
  <si>
    <t>Payload Calculator</t>
  </si>
  <si>
    <t>Empty weight</t>
  </si>
  <si>
    <t>Ave Crew Weight</t>
  </si>
  <si>
    <t>45 Minutes Fuel</t>
  </si>
  <si>
    <t>BOW</t>
  </si>
  <si>
    <t>MTOW</t>
  </si>
  <si>
    <t>Heavy Metro</t>
  </si>
  <si>
    <t>Heavy Metroliner</t>
  </si>
  <si>
    <t>Aprox RT Payload --&gt;</t>
  </si>
  <si>
    <t>RT Fuel Payload fm ANC</t>
  </si>
  <si>
    <t>OW Fuel Payload fm ANC</t>
  </si>
  <si>
    <t>$ ??</t>
  </si>
  <si>
    <t>BOW - Ave Crew Wt. and 45 min reserve fuel</t>
  </si>
  <si>
    <t>Change these Values to increase or decrease prices -&gt;</t>
  </si>
  <si>
    <t>SD 330</t>
  </si>
  <si>
    <t>SD-330</t>
  </si>
  <si>
    <t>Shorts SD 330</t>
  </si>
  <si>
    <t>COST CALCULATIONS</t>
  </si>
  <si>
    <t>Annual Estimates</t>
  </si>
  <si>
    <t>Predicted Flight  Hours per Year</t>
  </si>
  <si>
    <t>Lease/Ownership</t>
  </si>
  <si>
    <t>?</t>
  </si>
  <si>
    <t>Hourly Costs</t>
  </si>
  <si>
    <t>Lease based on Hourly usage</t>
  </si>
  <si>
    <t>Maintenance</t>
  </si>
  <si>
    <t>Insurance based on Hourly Usage</t>
  </si>
  <si>
    <t>Subtotal</t>
  </si>
  <si>
    <t>% Profit</t>
  </si>
  <si>
    <t>Hourly rate</t>
  </si>
  <si>
    <t>Ld Fee   =GTOW*State_Ld_Fee</t>
  </si>
  <si>
    <t>Fuel = Value from Row 17 X Value from Row 19</t>
  </si>
  <si>
    <t>Overhead - WAG</t>
  </si>
  <si>
    <t>SD330</t>
  </si>
  <si>
    <t>Full Fuel (674 usable)</t>
  </si>
  <si>
    <t>Verify All payloads with Flt Crew   &lt;&lt;----&gt;&gt;   NO  Payloads over 7,500#s</t>
  </si>
  <si>
    <t xml:space="preserve"> Current Fuel $$ -&gt;</t>
  </si>
  <si>
    <t>Jet $/gal</t>
  </si>
  <si>
    <t>Avgas$/gal</t>
  </si>
  <si>
    <t>Fuel Surcharge</t>
  </si>
  <si>
    <t>ENTER Quote Amount -&gt;</t>
  </si>
  <si>
    <t xml:space="preserve">        This section is for adding a fuel surchage.  You put the current          &lt;----  Fuel Cost in the Yellow Box and the Difference will be shown in                                                      .            the Green Box and added to the Charter Price                           .                 Base/Average Prices on Variables page -                                                       gas= $5.00 and jet= $4.00</t>
  </si>
  <si>
    <t>Comments (From Airports Tab)</t>
  </si>
  <si>
    <t>BOW (with IFR fuel)</t>
  </si>
  <si>
    <t>Payload full with full fuel -&gt;</t>
  </si>
  <si>
    <t>&lt;- Numbers rounded down</t>
  </si>
  <si>
    <t>Shorts 330</t>
  </si>
  <si>
    <t>Plus min /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</si>
</sst>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0000"/>
    <numFmt numFmtId="167" formatCode="#,##0.0"/>
    <numFmt numFmtId="168" formatCode="0.0000"/>
    <numFmt numFmtId="169" formatCode="0.0%"/>
    <numFmt numFmtId="170" formatCode="0\:"/>
    <numFmt numFmtId="171" formatCode="00"/>
    <numFmt numFmtId="172" formatCode="0.0"/>
    <numFmt numFmtId="173" formatCode="00000"/>
    <numFmt numFmtId="174" formatCode="m/d/yy;@"/>
    <numFmt numFmtId="175" formatCode="_(&quot;$&quot;* #,##0_);_(&quot;$&quot;* \(#,##0\);_(&quot;$&quot;* &quot;-&quot;??_);_(@_)"/>
    <numFmt numFmtId="176" formatCode="0.000%"/>
  </numFmts>
  <fonts count="56" x14ac:knownFonts="1">
    <font>
      <sz val="11"/>
      <color theme="1"/>
      <name val="Calibri"/>
      <family val="2"/>
      <scheme val="minor"/>
    </font>
    <font>
      <b/>
      <sz val="10"/>
      <color indexed="8"/>
      <name val="Comic Sans MS"/>
      <family val="4"/>
    </font>
    <font>
      <sz val="10"/>
      <color indexed="8"/>
      <name val="Comic Sans MS"/>
      <family val="4"/>
    </font>
    <font>
      <i/>
      <u/>
      <sz val="11"/>
      <color indexed="8"/>
      <name val="Calibri"/>
      <family val="2"/>
    </font>
    <font>
      <sz val="11"/>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sz val="11"/>
      <color theme="1"/>
      <name val="Comic Sans MS"/>
      <family val="4"/>
    </font>
    <font>
      <b/>
      <sz val="11"/>
      <color theme="1"/>
      <name val="Comic Sans MS"/>
      <family val="4"/>
    </font>
    <font>
      <b/>
      <sz val="10"/>
      <color theme="1"/>
      <name val="Comic Sans MS"/>
      <family val="4"/>
    </font>
    <font>
      <sz val="10"/>
      <color theme="1"/>
      <name val="Comic Sans MS"/>
      <family val="4"/>
    </font>
    <font>
      <b/>
      <sz val="12"/>
      <color theme="1"/>
      <name val="Comic Sans MS"/>
      <family val="4"/>
    </font>
    <font>
      <sz val="11"/>
      <color theme="1"/>
      <name val="Calibri"/>
      <family val="2"/>
    </font>
    <font>
      <b/>
      <sz val="8"/>
      <color theme="1"/>
      <name val="Terminal"/>
      <family val="3"/>
      <charset val="255"/>
    </font>
    <font>
      <sz val="16"/>
      <color theme="1"/>
      <name val="Calibri"/>
      <family val="2"/>
      <scheme val="minor"/>
    </font>
    <font>
      <i/>
      <sz val="10"/>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sz val="12"/>
      <color theme="1"/>
      <name val="Algerian"/>
      <family val="5"/>
    </font>
    <font>
      <b/>
      <sz val="7"/>
      <color theme="1"/>
      <name val="Comic Sans MS"/>
      <family val="4"/>
    </font>
    <font>
      <b/>
      <sz val="11"/>
      <color theme="1"/>
      <name val="Calibri"/>
      <family val="2"/>
    </font>
    <font>
      <sz val="12"/>
      <color theme="1"/>
      <name val="Calibri"/>
      <family val="2"/>
    </font>
    <font>
      <i/>
      <sz val="10"/>
      <color theme="4" tint="-0.249977111117893"/>
      <name val="Calibri"/>
      <family val="2"/>
      <scheme val="minor"/>
    </font>
    <font>
      <i/>
      <sz val="9"/>
      <color theme="1"/>
      <name val="Arial Black"/>
      <family val="2"/>
    </font>
    <font>
      <sz val="12"/>
      <color theme="1"/>
      <name val="Comic Sans MS"/>
      <family val="4"/>
    </font>
    <font>
      <sz val="11"/>
      <name val="Comic Sans MS"/>
      <family val="4"/>
    </font>
    <font>
      <b/>
      <i/>
      <sz val="11"/>
      <color theme="1"/>
      <name val="Calibri"/>
      <family val="2"/>
    </font>
    <font>
      <b/>
      <sz val="12"/>
      <color theme="1"/>
      <name val="Calibri"/>
      <family val="2"/>
    </font>
    <font>
      <b/>
      <sz val="12"/>
      <color theme="1"/>
      <name val="Chief Blueprint"/>
      <family val="2"/>
    </font>
    <font>
      <sz val="11"/>
      <color theme="1"/>
      <name val="Verdana"/>
      <family val="2"/>
    </font>
    <font>
      <sz val="11"/>
      <color rgb="FF666666"/>
      <name val="Verdana"/>
      <family val="2"/>
    </font>
    <font>
      <b/>
      <sz val="11"/>
      <color theme="1"/>
      <name val="Chief Blueprint"/>
      <family val="2"/>
    </font>
    <font>
      <b/>
      <i/>
      <sz val="12"/>
      <color theme="1"/>
      <name val="Calibri"/>
      <family val="2"/>
      <scheme val="minor"/>
    </font>
    <font>
      <b/>
      <sz val="12"/>
      <name val="Calibri"/>
      <family val="2"/>
    </font>
    <font>
      <sz val="14"/>
      <color theme="1"/>
      <name val="Calibri"/>
      <family val="2"/>
    </font>
    <font>
      <b/>
      <sz val="10"/>
      <color theme="1"/>
      <name val="Calibri"/>
      <family val="2"/>
    </font>
    <font>
      <b/>
      <i/>
      <sz val="12"/>
      <color theme="1"/>
      <name val="Calibri"/>
      <family val="2"/>
    </font>
    <font>
      <i/>
      <sz val="11"/>
      <color theme="1"/>
      <name val="Calibri"/>
      <family val="2"/>
    </font>
    <font>
      <sz val="10"/>
      <color theme="1"/>
      <name val="Calibri"/>
      <family val="2"/>
    </font>
    <font>
      <b/>
      <sz val="9"/>
      <color theme="1"/>
      <name val="Calibri"/>
      <family val="2"/>
    </font>
    <font>
      <i/>
      <sz val="10"/>
      <color theme="1"/>
      <name val="Calibri"/>
      <family val="2"/>
    </font>
    <font>
      <sz val="11"/>
      <color theme="0"/>
      <name val="Calibri"/>
      <family val="2"/>
      <scheme val="minor"/>
    </font>
    <font>
      <b/>
      <sz val="12"/>
      <color rgb="FFFF0000"/>
      <name val="Calibri"/>
      <family val="2"/>
    </font>
    <font>
      <b/>
      <sz val="11"/>
      <name val="Calibri"/>
      <family val="2"/>
    </font>
    <font>
      <b/>
      <i/>
      <sz val="11"/>
      <name val="Calibri"/>
      <family val="2"/>
    </font>
    <font>
      <sz val="12"/>
      <color theme="1"/>
      <name val="Calibri"/>
      <family val="2"/>
      <scheme val="minor"/>
    </font>
    <font>
      <sz val="13"/>
      <color theme="1"/>
      <name val="Calibri"/>
      <family val="2"/>
    </font>
    <font>
      <sz val="13"/>
      <name val="Calibri"/>
      <family val="2"/>
    </font>
    <font>
      <b/>
      <sz val="14"/>
      <color theme="1"/>
      <name val="Calibri"/>
      <family val="2"/>
    </font>
    <font>
      <b/>
      <sz val="14"/>
      <color theme="1"/>
      <name val="Calibri"/>
      <family val="2"/>
      <scheme val="minor"/>
    </font>
    <font>
      <b/>
      <i/>
      <sz val="14"/>
      <color theme="1"/>
      <name val="Calibri"/>
      <family val="2"/>
    </font>
    <font>
      <sz val="14"/>
      <color theme="1"/>
      <name val="Calibri"/>
      <family val="2"/>
      <scheme val="minor"/>
    </font>
    <font>
      <sz val="11"/>
      <name val="Calibri"/>
      <family val="2"/>
      <scheme val="minor"/>
    </font>
    <font>
      <b/>
      <sz val="14"/>
      <color rgb="FFC00000"/>
      <name val="Calibri"/>
      <family val="2"/>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00FF9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0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right style="thin">
        <color indexed="64"/>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style="thin">
        <color indexed="64"/>
      </top>
      <bottom style="thin">
        <color indexed="64"/>
      </bottom>
      <diagonal/>
    </border>
    <border>
      <left/>
      <right/>
      <top/>
      <bottom style="double">
        <color indexed="64"/>
      </bottom>
      <diagonal/>
    </border>
    <border>
      <left style="thick">
        <color indexed="64"/>
      </left>
      <right/>
      <top style="thick">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auto="1"/>
      </right>
      <top/>
      <bottom/>
      <diagonal/>
    </border>
    <border>
      <left/>
      <right style="double">
        <color rgb="FFFFC000"/>
      </right>
      <top style="double">
        <color rgb="FFFFC000"/>
      </top>
      <bottom style="double">
        <color rgb="FFFFC000"/>
      </bottom>
      <diagonal/>
    </border>
    <border>
      <left style="double">
        <color auto="1"/>
      </left>
      <right style="mediumDashDotDot">
        <color auto="1"/>
      </right>
      <top style="double">
        <color auto="1"/>
      </top>
      <bottom/>
      <diagonal/>
    </border>
    <border>
      <left style="mediumDashDotDot">
        <color auto="1"/>
      </left>
      <right style="double">
        <color auto="1"/>
      </right>
      <top style="double">
        <color auto="1"/>
      </top>
      <bottom/>
      <diagonal/>
    </border>
    <border>
      <left style="double">
        <color auto="1"/>
      </left>
      <right style="mediumDashDotDot">
        <color auto="1"/>
      </right>
      <top style="thin">
        <color indexed="64"/>
      </top>
      <bottom style="thin">
        <color indexed="64"/>
      </bottom>
      <diagonal/>
    </border>
    <border>
      <left style="mediumDashDotDot">
        <color auto="1"/>
      </left>
      <right style="double">
        <color auto="1"/>
      </right>
      <top style="thin">
        <color indexed="64"/>
      </top>
      <bottom style="thin">
        <color indexed="64"/>
      </bottom>
      <diagonal/>
    </border>
    <border>
      <left style="double">
        <color auto="1"/>
      </left>
      <right/>
      <top style="double">
        <color indexed="64"/>
      </top>
      <bottom/>
      <diagonal/>
    </border>
    <border>
      <left style="double">
        <color auto="1"/>
      </left>
      <right/>
      <top/>
      <bottom/>
      <diagonal/>
    </border>
    <border>
      <left style="double">
        <color auto="1"/>
      </left>
      <right/>
      <top/>
      <bottom style="double">
        <color indexed="64"/>
      </bottom>
      <diagonal/>
    </border>
    <border>
      <left/>
      <right/>
      <top style="thin">
        <color indexed="64"/>
      </top>
      <bottom style="double">
        <color indexed="64"/>
      </bottom>
      <diagonal/>
    </border>
    <border>
      <left style="thick">
        <color indexed="64"/>
      </left>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ck">
        <color indexed="64"/>
      </right>
      <top style="thick">
        <color indexed="64"/>
      </top>
      <bottom style="thin">
        <color indexed="64"/>
      </bottom>
      <diagonal/>
    </border>
    <border>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rgb="FFFFC000"/>
      </left>
      <right/>
      <top style="double">
        <color rgb="FFFFC000"/>
      </top>
      <bottom style="double">
        <color rgb="FFFFC000"/>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mediumDashDotDot">
        <color auto="1"/>
      </right>
      <top/>
      <bottom style="double">
        <color auto="1"/>
      </bottom>
      <diagonal/>
    </border>
    <border>
      <left style="mediumDashDotDot">
        <color auto="1"/>
      </left>
      <right style="double">
        <color auto="1"/>
      </right>
      <top/>
      <bottom style="double">
        <color auto="1"/>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auto="1"/>
      </left>
      <right style="thin">
        <color indexed="64"/>
      </right>
      <top style="thick">
        <color auto="1"/>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medium">
        <color indexed="64"/>
      </top>
      <bottom style="medium">
        <color indexed="64"/>
      </bottom>
      <diagonal/>
    </border>
    <border>
      <left/>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ck">
        <color indexed="64"/>
      </bottom>
      <diagonal/>
    </border>
    <border>
      <left/>
      <right style="thick">
        <color indexed="64"/>
      </right>
      <top style="medium">
        <color indexed="64"/>
      </top>
      <bottom style="medium">
        <color indexed="64"/>
      </bottom>
      <diagonal/>
    </border>
    <border>
      <left style="double">
        <color indexed="64"/>
      </left>
      <right style="thin">
        <color indexed="64"/>
      </right>
      <top/>
      <bottom style="double">
        <color indexed="64"/>
      </bottom>
      <diagonal/>
    </border>
    <border>
      <left style="thin">
        <color indexed="64"/>
      </left>
      <right style="double">
        <color auto="1"/>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diagonal/>
    </border>
    <border>
      <left style="medium">
        <color indexed="64"/>
      </left>
      <right/>
      <top/>
      <bottom style="thick">
        <color indexed="64"/>
      </bottom>
      <diagonal/>
    </border>
    <border>
      <left style="thin">
        <color indexed="64"/>
      </left>
      <right/>
      <top style="thick">
        <color indexed="64"/>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484">
    <xf numFmtId="0" fontId="0" fillId="0" borderId="0" xfId="0"/>
    <xf numFmtId="0" fontId="0" fillId="0" borderId="1" xfId="0" applyBorder="1" applyAlignment="1">
      <alignment horizontal="center"/>
    </xf>
    <xf numFmtId="0" fontId="0" fillId="0" borderId="0" xfId="0" quotePrefix="1"/>
    <xf numFmtId="0" fontId="6" fillId="0" borderId="0" xfId="0" applyFont="1" applyAlignment="1">
      <alignment horizontal="center"/>
    </xf>
    <xf numFmtId="0" fontId="6" fillId="0" borderId="0" xfId="0" quotePrefix="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0" xfId="0" applyFont="1" applyAlignment="1">
      <alignment horizontal="center"/>
    </xf>
    <xf numFmtId="0" fontId="7" fillId="0" borderId="5" xfId="0" applyFont="1" applyBorder="1"/>
    <xf numFmtId="0" fontId="7" fillId="0" borderId="6" xfId="0" applyFont="1" applyBorder="1"/>
    <xf numFmtId="0" fontId="0" fillId="2" borderId="0" xfId="0" applyFill="1"/>
    <xf numFmtId="0" fontId="0" fillId="3" borderId="2" xfId="0" applyFill="1" applyBorder="1" applyAlignment="1">
      <alignment horizontal="center"/>
    </xf>
    <xf numFmtId="0" fontId="0" fillId="3" borderId="1" xfId="0" applyFill="1" applyBorder="1" applyAlignment="1">
      <alignment horizontal="center"/>
    </xf>
    <xf numFmtId="166" fontId="0" fillId="0" borderId="2" xfId="0" applyNumberFormat="1" applyBorder="1" applyAlignment="1">
      <alignment horizontal="center"/>
    </xf>
    <xf numFmtId="0" fontId="0" fillId="3" borderId="0" xfId="0" applyFill="1"/>
    <xf numFmtId="166" fontId="0" fillId="0" borderId="1" xfId="0" applyNumberFormat="1" applyBorder="1" applyAlignment="1">
      <alignment horizontal="center"/>
    </xf>
    <xf numFmtId="0" fontId="8" fillId="0" borderId="0" xfId="0" applyFont="1" applyAlignment="1">
      <alignment horizontal="center"/>
    </xf>
    <xf numFmtId="0" fontId="9" fillId="0" borderId="0" xfId="0" applyFont="1" applyAlignment="1">
      <alignment horizontal="center"/>
    </xf>
    <xf numFmtId="3" fontId="8" fillId="0" borderId="0" xfId="0" applyNumberFormat="1" applyFont="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2" xfId="0" applyFont="1" applyBorder="1" applyAlignment="1">
      <alignment horizontal="center"/>
    </xf>
    <xf numFmtId="0" fontId="8" fillId="0" borderId="10" xfId="0" applyFont="1" applyBorder="1" applyAlignment="1">
      <alignment horizontal="center"/>
    </xf>
    <xf numFmtId="0" fontId="8" fillId="0" borderId="3" xfId="0" applyFont="1" applyBorder="1" applyAlignment="1">
      <alignment horizontal="center"/>
    </xf>
    <xf numFmtId="0" fontId="10" fillId="0" borderId="0" xfId="0" applyFont="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xf numFmtId="0" fontId="11" fillId="0" borderId="0" xfId="0" applyFont="1" applyAlignment="1">
      <alignment horizontal="left"/>
    </xf>
    <xf numFmtId="3" fontId="8" fillId="0" borderId="9" xfId="0" applyNumberFormat="1" applyFont="1" applyBorder="1" applyAlignment="1">
      <alignment horizontal="center"/>
    </xf>
    <xf numFmtId="3" fontId="8" fillId="0" borderId="13" xfId="0" applyNumberFormat="1" applyFont="1" applyBorder="1" applyAlignment="1">
      <alignment horizontal="center"/>
    </xf>
    <xf numFmtId="0" fontId="12" fillId="0" borderId="0" xfId="0" applyFont="1" applyProtection="1">
      <protection hidden="1"/>
    </xf>
    <xf numFmtId="0" fontId="12" fillId="0" borderId="0" xfId="0" applyFont="1"/>
    <xf numFmtId="3" fontId="8" fillId="0" borderId="12" xfId="0" applyNumberFormat="1" applyFont="1" applyBorder="1" applyAlignment="1">
      <alignment horizontal="center"/>
    </xf>
    <xf numFmtId="0" fontId="0" fillId="0" borderId="1" xfId="0" applyBorder="1"/>
    <xf numFmtId="167" fontId="8" fillId="0" borderId="0" xfId="0" applyNumberFormat="1" applyFont="1" applyAlignment="1">
      <alignment horizontal="center"/>
    </xf>
    <xf numFmtId="167" fontId="9" fillId="0" borderId="0" xfId="0" applyNumberFormat="1" applyFont="1" applyAlignment="1">
      <alignment horizontal="center"/>
    </xf>
    <xf numFmtId="167" fontId="8" fillId="0" borderId="8" xfId="0" applyNumberFormat="1" applyFont="1" applyBorder="1" applyAlignment="1">
      <alignment horizontal="center"/>
    </xf>
    <xf numFmtId="167" fontId="8" fillId="0" borderId="1" xfId="0" applyNumberFormat="1" applyFont="1" applyBorder="1" applyAlignment="1">
      <alignment horizontal="center"/>
    </xf>
    <xf numFmtId="167" fontId="8" fillId="0" borderId="3" xfId="0" applyNumberFormat="1" applyFont="1" applyBorder="1" applyAlignment="1">
      <alignment horizontal="center"/>
    </xf>
    <xf numFmtId="0" fontId="14" fillId="0" borderId="0" xfId="0" applyFont="1" applyAlignment="1">
      <alignment horizontal="center" vertical="center"/>
    </xf>
    <xf numFmtId="0" fontId="6" fillId="7" borderId="0" xfId="0" applyFont="1" applyFill="1" applyAlignment="1">
      <alignment horizontal="center"/>
    </xf>
    <xf numFmtId="165" fontId="0" fillId="7" borderId="2" xfId="0" applyNumberFormat="1" applyFill="1" applyBorder="1" applyAlignment="1">
      <alignment horizontal="center"/>
    </xf>
    <xf numFmtId="0" fontId="6" fillId="2" borderId="0" xfId="0" applyFont="1" applyFill="1" applyAlignment="1">
      <alignment horizontal="center"/>
    </xf>
    <xf numFmtId="168" fontId="0" fillId="0" borderId="2" xfId="0" applyNumberFormat="1" applyBorder="1" applyAlignment="1">
      <alignment horizontal="center"/>
    </xf>
    <xf numFmtId="7" fontId="4" fillId="0" borderId="10" xfId="1" applyNumberFormat="1" applyFont="1" applyFill="1" applyBorder="1" applyAlignment="1">
      <alignment horizontal="center"/>
    </xf>
    <xf numFmtId="0" fontId="6" fillId="3" borderId="0" xfId="0" applyFont="1" applyFill="1" applyAlignment="1">
      <alignment horizont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6" xfId="0" applyFont="1" applyFill="1" applyBorder="1" applyAlignment="1">
      <alignment horizontal="center" vertical="center"/>
    </xf>
    <xf numFmtId="0" fontId="0" fillId="7" borderId="27"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6" fontId="0" fillId="0" borderId="28" xfId="0" applyNumberFormat="1" applyBorder="1" applyAlignment="1">
      <alignment horizontal="center" vertical="center"/>
    </xf>
    <xf numFmtId="169" fontId="0" fillId="0" borderId="29" xfId="0" applyNumberFormat="1" applyBorder="1" applyAlignment="1">
      <alignment horizontal="center" vertical="center"/>
    </xf>
    <xf numFmtId="0" fontId="0" fillId="8" borderId="1" xfId="0" applyFill="1" applyBorder="1" applyAlignment="1">
      <alignment horizontal="center" vertical="center"/>
    </xf>
    <xf numFmtId="0" fontId="0" fillId="8" borderId="5" xfId="0" applyFill="1" applyBorder="1" applyAlignment="1">
      <alignment horizontal="center" vertical="center"/>
    </xf>
    <xf numFmtId="6" fontId="0" fillId="8" borderId="2" xfId="0" applyNumberFormat="1" applyFill="1" applyBorder="1" applyAlignment="1">
      <alignment horizontal="center" vertical="center"/>
    </xf>
    <xf numFmtId="169" fontId="0" fillId="8" borderId="5" xfId="0" applyNumberFormat="1" applyFill="1"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center" vertical="center"/>
    </xf>
    <xf numFmtId="6" fontId="0" fillId="0" borderId="31" xfId="0" applyNumberFormat="1" applyBorder="1" applyAlignment="1">
      <alignment horizontal="center" vertical="center"/>
    </xf>
    <xf numFmtId="169" fontId="0" fillId="0" borderId="30" xfId="0" applyNumberFormat="1" applyBorder="1" applyAlignment="1">
      <alignment horizontal="center" vertical="center"/>
    </xf>
    <xf numFmtId="6" fontId="0" fillId="0" borderId="2" xfId="0" applyNumberFormat="1" applyBorder="1" applyAlignment="1">
      <alignment horizontal="center" vertical="center"/>
    </xf>
    <xf numFmtId="169" fontId="0" fillId="0" borderId="5" xfId="0" applyNumberFormat="1" applyBorder="1" applyAlignment="1">
      <alignment horizontal="center" vertical="center"/>
    </xf>
    <xf numFmtId="0" fontId="0" fillId="7" borderId="32" xfId="0"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6" fontId="0" fillId="0" borderId="10" xfId="0" applyNumberFormat="1" applyBorder="1" applyAlignment="1">
      <alignment horizontal="center" vertical="center"/>
    </xf>
    <xf numFmtId="169" fontId="0" fillId="0" borderId="6" xfId="0" applyNumberFormat="1" applyBorder="1" applyAlignment="1">
      <alignment horizontal="center" vertical="center"/>
    </xf>
    <xf numFmtId="0" fontId="15" fillId="0" borderId="0" xfId="0" applyFont="1"/>
    <xf numFmtId="0" fontId="16" fillId="0" borderId="33" xfId="0" applyFont="1" applyBorder="1" applyAlignment="1">
      <alignment horizontal="left"/>
    </xf>
    <xf numFmtId="0" fontId="0" fillId="0" borderId="34" xfId="0" applyBorder="1" applyAlignment="1">
      <alignment horizontal="left"/>
    </xf>
    <xf numFmtId="0" fontId="17" fillId="0" borderId="0" xfId="0" applyFont="1" applyAlignment="1">
      <alignment horizontal="left" vertical="center"/>
    </xf>
    <xf numFmtId="0" fontId="0" fillId="2" borderId="2"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6"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3" fontId="0" fillId="2" borderId="1" xfId="0" applyNumberFormat="1" applyFill="1" applyBorder="1" applyAlignment="1">
      <alignment horizontal="center"/>
    </xf>
    <xf numFmtId="165" fontId="0" fillId="7" borderId="1" xfId="0" applyNumberFormat="1" applyFill="1" applyBorder="1" applyAlignment="1">
      <alignment horizontal="center"/>
    </xf>
    <xf numFmtId="3" fontId="0" fillId="2" borderId="2" xfId="0" applyNumberFormat="1" applyFill="1" applyBorder="1" applyAlignment="1">
      <alignment horizontal="center"/>
    </xf>
    <xf numFmtId="0" fontId="5" fillId="0" borderId="0" xfId="0" applyFont="1" applyAlignment="1">
      <alignment horizontal="right"/>
    </xf>
    <xf numFmtId="0" fontId="5" fillId="0" borderId="0" xfId="0" applyFont="1" applyAlignment="1">
      <alignment horizontal="center" vertical="center"/>
    </xf>
    <xf numFmtId="0" fontId="5" fillId="0" borderId="40" xfId="0" applyFont="1" applyBorder="1" applyAlignment="1">
      <alignment horizontal="center" vertical="center"/>
    </xf>
    <xf numFmtId="2" fontId="0" fillId="0" borderId="41" xfId="0" applyNumberFormat="1" applyBorder="1" applyAlignment="1">
      <alignment horizontal="center" vertical="center"/>
    </xf>
    <xf numFmtId="164" fontId="5" fillId="0" borderId="0" xfId="0" applyNumberFormat="1" applyFont="1" applyAlignment="1">
      <alignment horizontal="center" vertical="center"/>
    </xf>
    <xf numFmtId="172" fontId="0" fillId="0" borderId="5" xfId="0" applyNumberFormat="1" applyBorder="1" applyAlignment="1">
      <alignment horizontal="center"/>
    </xf>
    <xf numFmtId="0" fontId="0" fillId="0" borderId="42" xfId="0" applyBorder="1" applyAlignment="1">
      <alignment horizontal="center" vertical="center"/>
    </xf>
    <xf numFmtId="2" fontId="0" fillId="0" borderId="1" xfId="0" applyNumberFormat="1" applyBorder="1" applyAlignment="1">
      <alignment horizontal="center" vertical="center"/>
    </xf>
    <xf numFmtId="2" fontId="5" fillId="0" borderId="42" xfId="0" applyNumberFormat="1" applyFont="1" applyBorder="1" applyAlignment="1">
      <alignment horizontal="center" vertical="center"/>
    </xf>
    <xf numFmtId="164" fontId="0" fillId="0" borderId="1" xfId="0" applyNumberFormat="1" applyBorder="1" applyAlignment="1">
      <alignment horizontal="center" vertical="center"/>
    </xf>
    <xf numFmtId="164" fontId="5" fillId="0" borderId="42" xfId="0" applyNumberFormat="1" applyFont="1" applyBorder="1" applyAlignment="1">
      <alignment horizontal="center" vertical="center"/>
    </xf>
    <xf numFmtId="170" fontId="0" fillId="0" borderId="38" xfId="0" applyNumberFormat="1" applyBorder="1"/>
    <xf numFmtId="171" fontId="0" fillId="0" borderId="43" xfId="0" applyNumberFormat="1" applyBorder="1" applyAlignment="1">
      <alignment horizontal="left"/>
    </xf>
    <xf numFmtId="2"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70" fontId="0" fillId="0" borderId="9" xfId="0" applyNumberFormat="1" applyBorder="1"/>
    <xf numFmtId="171" fontId="0" fillId="0" borderId="44" xfId="0" applyNumberFormat="1" applyBorder="1" applyAlignment="1">
      <alignment horizontal="left"/>
    </xf>
    <xf numFmtId="172" fontId="0" fillId="0" borderId="6" xfId="0" applyNumberFormat="1" applyBorder="1" applyAlignment="1">
      <alignment horizontal="center"/>
    </xf>
    <xf numFmtId="0" fontId="0" fillId="0" borderId="39" xfId="0" applyBorder="1" applyAlignment="1">
      <alignment horizontal="center" vertical="center"/>
    </xf>
    <xf numFmtId="2" fontId="5" fillId="0" borderId="39" xfId="0" applyNumberFormat="1" applyFont="1" applyBorder="1" applyAlignment="1">
      <alignment horizontal="center" vertical="center"/>
    </xf>
    <xf numFmtId="164" fontId="0" fillId="0" borderId="39" xfId="0" applyNumberFormat="1" applyBorder="1" applyAlignment="1">
      <alignment horizontal="center" vertical="center"/>
    </xf>
    <xf numFmtId="164" fontId="5" fillId="0" borderId="39" xfId="0" applyNumberFormat="1" applyFont="1" applyBorder="1" applyAlignment="1">
      <alignment horizontal="center" vertical="center"/>
    </xf>
    <xf numFmtId="170" fontId="0" fillId="0" borderId="45" xfId="0" applyNumberFormat="1" applyBorder="1"/>
    <xf numFmtId="171" fontId="0" fillId="0" borderId="46" xfId="0" applyNumberFormat="1" applyBorder="1" applyAlignment="1">
      <alignment horizontal="left"/>
    </xf>
    <xf numFmtId="0" fontId="18" fillId="0" borderId="0" xfId="0" applyFont="1" applyAlignment="1">
      <alignment horizontal="right"/>
    </xf>
    <xf numFmtId="0" fontId="19" fillId="0" borderId="0" xfId="0" applyFont="1"/>
    <xf numFmtId="0" fontId="7" fillId="0" borderId="47" xfId="0" applyFont="1" applyBorder="1"/>
    <xf numFmtId="0" fontId="16" fillId="0" borderId="0" xfId="0" applyFont="1"/>
    <xf numFmtId="0" fontId="19" fillId="0" borderId="49" xfId="0" applyFon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44" fontId="0" fillId="0" borderId="0" xfId="0" applyNumberFormat="1"/>
    <xf numFmtId="0" fontId="0" fillId="3" borderId="1" xfId="0" applyFill="1" applyBorder="1" applyAlignment="1">
      <alignment horizontal="center" vertical="center"/>
    </xf>
    <xf numFmtId="166" fontId="0" fillId="0" borderId="1" xfId="0" applyNumberFormat="1" applyBorder="1" applyAlignment="1">
      <alignment horizontal="center" vertical="center"/>
    </xf>
    <xf numFmtId="3" fontId="0" fillId="2" borderId="1" xfId="0" applyNumberFormat="1" applyFill="1" applyBorder="1" applyAlignment="1">
      <alignment horizontal="center" vertical="center"/>
    </xf>
    <xf numFmtId="0" fontId="11" fillId="0" borderId="5" xfId="0" applyFont="1" applyBorder="1" applyAlignment="1">
      <alignment horizontal="left" wrapText="1"/>
    </xf>
    <xf numFmtId="0" fontId="7" fillId="0" borderId="29" xfId="0" applyFont="1" applyBorder="1"/>
    <xf numFmtId="165" fontId="0" fillId="0" borderId="0" xfId="0" applyNumberFormat="1"/>
    <xf numFmtId="165" fontId="0" fillId="2" borderId="0" xfId="0" applyNumberFormat="1" applyFill="1"/>
    <xf numFmtId="0" fontId="0" fillId="10" borderId="0" xfId="0" applyFill="1"/>
    <xf numFmtId="0" fontId="0" fillId="10" borderId="0" xfId="0" applyFill="1" applyAlignment="1">
      <alignment horizontal="center"/>
    </xf>
    <xf numFmtId="0" fontId="6" fillId="10" borderId="0" xfId="0" applyFont="1" applyFill="1" applyAlignment="1">
      <alignment horizontal="center"/>
    </xf>
    <xf numFmtId="165" fontId="7" fillId="10" borderId="1" xfId="0" applyNumberFormat="1" applyFont="1" applyFill="1" applyBorder="1"/>
    <xf numFmtId="3" fontId="8" fillId="0" borderId="1" xfId="0" applyNumberFormat="1" applyFont="1" applyBorder="1" applyAlignment="1">
      <alignment horizontal="center"/>
    </xf>
    <xf numFmtId="0" fontId="11" fillId="0" borderId="1" xfId="0" applyFont="1" applyBorder="1" applyAlignment="1">
      <alignment horizontal="left"/>
    </xf>
    <xf numFmtId="0" fontId="6" fillId="0" borderId="0" xfId="0" applyFont="1"/>
    <xf numFmtId="0" fontId="5" fillId="0" borderId="0" xfId="0" applyFont="1"/>
    <xf numFmtId="0" fontId="19" fillId="0" borderId="0" xfId="0" applyFont="1" applyAlignment="1">
      <alignment horizontal="center"/>
    </xf>
    <xf numFmtId="2" fontId="0" fillId="0" borderId="1" xfId="0" applyNumberFormat="1" applyBorder="1"/>
    <xf numFmtId="0" fontId="12" fillId="0" borderId="0" xfId="0" applyFont="1" applyAlignment="1">
      <alignment horizontal="justify" vertical="top" wrapText="1"/>
    </xf>
    <xf numFmtId="0" fontId="29" fillId="0" borderId="0" xfId="0" applyFont="1"/>
    <xf numFmtId="0" fontId="0" fillId="0" borderId="0" xfId="0" applyAlignment="1">
      <alignment horizontal="right"/>
    </xf>
    <xf numFmtId="165" fontId="0" fillId="0" borderId="1" xfId="0" applyNumberFormat="1" applyBorder="1"/>
    <xf numFmtId="165" fontId="0" fillId="0" borderId="76" xfId="0" applyNumberFormat="1" applyBorder="1"/>
    <xf numFmtId="165" fontId="0" fillId="2" borderId="1" xfId="0" applyNumberFormat="1" applyFill="1" applyBorder="1"/>
    <xf numFmtId="165" fontId="0" fillId="0" borderId="0" xfId="0" applyNumberFormat="1" applyAlignment="1">
      <alignment horizontal="center"/>
    </xf>
    <xf numFmtId="165" fontId="0" fillId="0" borderId="19" xfId="0" applyNumberFormat="1" applyBorder="1" applyAlignment="1">
      <alignment horizontal="center"/>
    </xf>
    <xf numFmtId="0" fontId="9" fillId="0" borderId="0" xfId="0" applyFont="1" applyAlignment="1">
      <alignment horizontal="center" vertical="center"/>
    </xf>
    <xf numFmtId="14" fontId="30" fillId="0" borderId="0" xfId="0" applyNumberFormat="1" applyFont="1" applyAlignment="1">
      <alignment horizontal="center" vertical="center"/>
    </xf>
    <xf numFmtId="0" fontId="21" fillId="0" borderId="0" xfId="0" applyFont="1" applyAlignment="1">
      <alignment horizontal="center"/>
    </xf>
    <xf numFmtId="0" fontId="10" fillId="0" borderId="0" xfId="0" applyFont="1" applyAlignment="1">
      <alignment horizontal="center"/>
    </xf>
    <xf numFmtId="0" fontId="6" fillId="0" borderId="0" xfId="0" applyFont="1" applyAlignment="1">
      <alignment horizontal="left"/>
    </xf>
    <xf numFmtId="165" fontId="0" fillId="0" borderId="19" xfId="0" applyNumberFormat="1" applyBorder="1"/>
    <xf numFmtId="165" fontId="5" fillId="0" borderId="0" xfId="0" applyNumberFormat="1" applyFont="1"/>
    <xf numFmtId="0" fontId="32" fillId="0" borderId="1" xfId="0" applyFont="1" applyBorder="1" applyAlignment="1">
      <alignment horizontal="right" vertical="top"/>
    </xf>
    <xf numFmtId="0" fontId="31" fillId="0" borderId="0" xfId="0" applyFont="1" applyAlignment="1">
      <alignment vertical="top"/>
    </xf>
    <xf numFmtId="0" fontId="31" fillId="0" borderId="1" xfId="0" applyFont="1" applyBorder="1" applyAlignment="1">
      <alignment vertical="top"/>
    </xf>
    <xf numFmtId="0" fontId="6" fillId="0" borderId="0" xfId="0" applyFont="1" applyAlignment="1">
      <alignment horizontal="right"/>
    </xf>
    <xf numFmtId="0" fontId="0" fillId="3" borderId="28" xfId="0" applyFill="1" applyBorder="1" applyAlignment="1">
      <alignment horizontal="center"/>
    </xf>
    <xf numFmtId="0" fontId="0" fillId="3" borderId="11" xfId="0" applyFill="1" applyBorder="1" applyAlignment="1">
      <alignment horizontal="center"/>
    </xf>
    <xf numFmtId="0" fontId="0" fillId="3" borderId="11" xfId="0" applyFill="1" applyBorder="1" applyAlignment="1">
      <alignment horizontal="center" vertical="center"/>
    </xf>
    <xf numFmtId="165" fontId="18" fillId="3" borderId="78" xfId="0" applyNumberFormat="1" applyFont="1" applyFill="1" applyBorder="1" applyAlignment="1">
      <alignment horizontal="center"/>
    </xf>
    <xf numFmtId="165" fontId="5" fillId="3" borderId="79" xfId="0" applyNumberFormat="1" applyFont="1" applyFill="1" applyBorder="1" applyAlignment="1">
      <alignment horizontal="center"/>
    </xf>
    <xf numFmtId="169" fontId="0" fillId="0" borderId="0" xfId="2" applyNumberFormat="1" applyFont="1"/>
    <xf numFmtId="164" fontId="0" fillId="0" borderId="0" xfId="0" applyNumberFormat="1"/>
    <xf numFmtId="10" fontId="0" fillId="0" borderId="0" xfId="0" applyNumberFormat="1"/>
    <xf numFmtId="164" fontId="0" fillId="0" borderId="11" xfId="0" applyNumberFormat="1" applyBorder="1" applyAlignment="1">
      <alignment horizontal="center" vertical="center"/>
    </xf>
    <xf numFmtId="7" fontId="0" fillId="4" borderId="1" xfId="1" applyNumberFormat="1" applyFont="1" applyFill="1" applyBorder="1" applyAlignment="1">
      <alignment horizontal="center"/>
    </xf>
    <xf numFmtId="7" fontId="0" fillId="0" borderId="1" xfId="1" applyNumberFormat="1" applyFont="1" applyBorder="1" applyAlignment="1">
      <alignment horizontal="center"/>
    </xf>
    <xf numFmtId="7" fontId="0" fillId="0" borderId="2" xfId="1" applyNumberFormat="1" applyFont="1" applyBorder="1" applyAlignment="1">
      <alignment horizontal="center"/>
    </xf>
    <xf numFmtId="164" fontId="0" fillId="0" borderId="48" xfId="0" applyNumberFormat="1" applyBorder="1" applyAlignment="1">
      <alignment horizontal="center" vertical="center"/>
    </xf>
    <xf numFmtId="164" fontId="0" fillId="0" borderId="80" xfId="0" applyNumberFormat="1" applyBorder="1" applyAlignment="1">
      <alignment horizontal="center" vertical="center"/>
    </xf>
    <xf numFmtId="172" fontId="18" fillId="0" borderId="0" xfId="0" applyNumberFormat="1" applyFont="1" applyAlignment="1">
      <alignment horizontal="center" vertical="center"/>
    </xf>
    <xf numFmtId="172" fontId="0" fillId="0" borderId="0" xfId="0" applyNumberFormat="1" applyAlignment="1">
      <alignment horizontal="center" vertical="center"/>
    </xf>
    <xf numFmtId="0" fontId="19" fillId="0" borderId="0" xfId="0" applyFont="1" applyAlignment="1">
      <alignment horizontal="left" vertical="center"/>
    </xf>
    <xf numFmtId="0" fontId="0" fillId="0" borderId="0" xfId="0" applyAlignment="1">
      <alignment horizontal="left" vertical="center"/>
    </xf>
    <xf numFmtId="2" fontId="0" fillId="0" borderId="3" xfId="0" applyNumberFormat="1" applyBorder="1" applyAlignment="1">
      <alignment horizontal="center" vertical="center"/>
    </xf>
    <xf numFmtId="2" fontId="5" fillId="0" borderId="11" xfId="0" applyNumberFormat="1" applyFont="1" applyBorder="1" applyAlignment="1">
      <alignment horizontal="center" vertical="center"/>
    </xf>
    <xf numFmtId="165" fontId="18" fillId="0" borderId="83" xfId="0" applyNumberFormat="1" applyFont="1" applyBorder="1" applyAlignment="1">
      <alignment horizontal="center" vertical="center"/>
    </xf>
    <xf numFmtId="0" fontId="18" fillId="0" borderId="0" xfId="0" applyFont="1"/>
    <xf numFmtId="0" fontId="20" fillId="0" borderId="0" xfId="0" applyFont="1" applyProtection="1">
      <protection locked="0"/>
    </xf>
    <xf numFmtId="165" fontId="18" fillId="0" borderId="82" xfId="0" applyNumberFormat="1" applyFont="1" applyBorder="1" applyAlignment="1">
      <alignment horizontal="center" vertical="center"/>
    </xf>
    <xf numFmtId="165" fontId="18" fillId="3" borderId="84" xfId="0" applyNumberFormat="1" applyFont="1" applyFill="1" applyBorder="1"/>
    <xf numFmtId="164" fontId="5" fillId="0" borderId="11" xfId="0" applyNumberFormat="1" applyFont="1" applyBorder="1" applyAlignment="1">
      <alignment horizontal="center" vertical="center"/>
    </xf>
    <xf numFmtId="0" fontId="18" fillId="2" borderId="47" xfId="0" applyFont="1" applyFill="1" applyBorder="1" applyAlignment="1">
      <alignment horizontal="center"/>
    </xf>
    <xf numFmtId="2" fontId="33" fillId="0" borderId="0" xfId="0" applyNumberFormat="1" applyFont="1" applyAlignment="1">
      <alignment horizontal="left"/>
    </xf>
    <xf numFmtId="165" fontId="34" fillId="0" borderId="0" xfId="0" applyNumberFormat="1" applyFont="1" applyAlignment="1">
      <alignment horizontal="left" vertical="center"/>
    </xf>
    <xf numFmtId="165" fontId="18" fillId="0" borderId="85" xfId="0" applyNumberFormat="1" applyFont="1" applyBorder="1" applyAlignment="1">
      <alignment horizontal="center" vertical="center"/>
    </xf>
    <xf numFmtId="0" fontId="0" fillId="0" borderId="0" xfId="0" applyAlignment="1">
      <alignment horizontal="justify" vertical="top" wrapText="1"/>
    </xf>
    <xf numFmtId="0" fontId="0" fillId="0" borderId="19" xfId="0" applyBorder="1" applyAlignment="1">
      <alignment vertical="center" wrapText="1"/>
    </xf>
    <xf numFmtId="0" fontId="29" fillId="0" borderId="0" xfId="0" applyFont="1" applyAlignment="1">
      <alignment horizontal="center" vertical="center" wrapText="1"/>
    </xf>
    <xf numFmtId="4" fontId="35" fillId="0" borderId="1" xfId="0" applyNumberFormat="1" applyFont="1" applyBorder="1" applyAlignment="1">
      <alignment horizontal="center" vertical="center"/>
    </xf>
    <xf numFmtId="0" fontId="35" fillId="0" borderId="1" xfId="0" applyFont="1" applyBorder="1" applyAlignment="1">
      <alignment horizontal="center"/>
    </xf>
    <xf numFmtId="0" fontId="36" fillId="0" borderId="0" xfId="0" applyFont="1" applyAlignment="1">
      <alignment horizontal="left" vertical="center"/>
    </xf>
    <xf numFmtId="0" fontId="29" fillId="0" borderId="15" xfId="0" applyFont="1" applyBorder="1"/>
    <xf numFmtId="0" fontId="29" fillId="11" borderId="0" xfId="0" applyFont="1" applyFill="1"/>
    <xf numFmtId="0" fontId="29" fillId="0" borderId="67" xfId="0" applyFont="1" applyBorder="1"/>
    <xf numFmtId="0" fontId="29" fillId="0" borderId="0" xfId="0" applyFont="1" applyAlignment="1">
      <alignment horizontal="justify" vertical="top" wrapText="1"/>
    </xf>
    <xf numFmtId="0" fontId="13" fillId="0" borderId="0" xfId="0" applyFont="1" applyAlignment="1">
      <alignment horizontal="center"/>
    </xf>
    <xf numFmtId="0" fontId="41" fillId="6" borderId="20" xfId="0" applyFont="1" applyFill="1" applyBorder="1" applyAlignment="1">
      <alignment horizontal="right"/>
    </xf>
    <xf numFmtId="0" fontId="22" fillId="0" borderId="17" xfId="0" applyFont="1" applyBorder="1" applyAlignment="1">
      <alignment horizontal="center" wrapText="1"/>
    </xf>
    <xf numFmtId="0" fontId="22" fillId="0" borderId="18" xfId="0" applyFont="1" applyBorder="1" applyAlignment="1">
      <alignment horizontal="center"/>
    </xf>
    <xf numFmtId="0" fontId="22" fillId="0" borderId="1" xfId="0" applyFont="1" applyBorder="1" applyAlignment="1">
      <alignment horizontal="right"/>
    </xf>
    <xf numFmtId="0" fontId="13" fillId="5" borderId="18" xfId="0" applyFont="1" applyFill="1" applyBorder="1" applyAlignment="1">
      <alignment horizontal="center"/>
    </xf>
    <xf numFmtId="3" fontId="13" fillId="3" borderId="14" xfId="0" applyNumberFormat="1" applyFont="1" applyFill="1" applyBorder="1" applyAlignment="1">
      <alignment horizontal="center" vertical="center"/>
    </xf>
    <xf numFmtId="0" fontId="22" fillId="0" borderId="14" xfId="0" applyFont="1" applyBorder="1" applyAlignment="1">
      <alignment horizontal="right"/>
    </xf>
    <xf numFmtId="165" fontId="29" fillId="0" borderId="0" xfId="0" applyNumberFormat="1" applyFont="1"/>
    <xf numFmtId="3" fontId="35" fillId="0" borderId="1" xfId="0" applyNumberFormat="1" applyFont="1" applyBorder="1" applyAlignment="1">
      <alignment horizontal="center"/>
    </xf>
    <xf numFmtId="0" fontId="0" fillId="0" borderId="0" xfId="0" applyAlignment="1">
      <alignment horizontal="left"/>
    </xf>
    <xf numFmtId="165" fontId="12" fillId="0" borderId="0" xfId="0" applyNumberFormat="1" applyFont="1"/>
    <xf numFmtId="2" fontId="12" fillId="0" borderId="0" xfId="0" applyNumberFormat="1" applyFont="1"/>
    <xf numFmtId="0" fontId="43" fillId="0" borderId="0" xfId="0" applyFont="1"/>
    <xf numFmtId="1" fontId="43" fillId="0" borderId="0" xfId="0" applyNumberFormat="1" applyFont="1"/>
    <xf numFmtId="0" fontId="43" fillId="0" borderId="0" xfId="0" applyFont="1" applyAlignment="1">
      <alignment horizontal="center"/>
    </xf>
    <xf numFmtId="0" fontId="0" fillId="2" borderId="0" xfId="0" applyFill="1" applyAlignment="1">
      <alignment horizontal="right"/>
    </xf>
    <xf numFmtId="0" fontId="0" fillId="0" borderId="1" xfId="0" quotePrefix="1" applyBorder="1" applyAlignment="1">
      <alignment horizontal="center"/>
    </xf>
    <xf numFmtId="167" fontId="0" fillId="0" borderId="1" xfId="0" applyNumberFormat="1" applyBorder="1" applyAlignment="1">
      <alignment horizontal="center"/>
    </xf>
    <xf numFmtId="165" fontId="0" fillId="0" borderId="1" xfId="0" applyNumberFormat="1" applyBorder="1" applyAlignment="1">
      <alignment horizontal="center"/>
    </xf>
    <xf numFmtId="164" fontId="5" fillId="9" borderId="11" xfId="0" applyNumberFormat="1" applyFont="1" applyFill="1" applyBorder="1" applyAlignment="1">
      <alignment horizontal="center" vertical="center"/>
    </xf>
    <xf numFmtId="0" fontId="0" fillId="0" borderId="0" xfId="0" applyAlignment="1">
      <alignment horizontal="center"/>
    </xf>
    <xf numFmtId="0" fontId="7" fillId="3" borderId="61" xfId="0" applyFont="1" applyFill="1" applyBorder="1"/>
    <xf numFmtId="0" fontId="0" fillId="0" borderId="14" xfId="0" applyBorder="1"/>
    <xf numFmtId="0" fontId="0" fillId="0" borderId="14" xfId="0" applyBorder="1" applyAlignment="1">
      <alignment horizontal="center"/>
    </xf>
    <xf numFmtId="0" fontId="0" fillId="0" borderId="11" xfId="0" applyBorder="1"/>
    <xf numFmtId="0" fontId="0" fillId="0" borderId="11" xfId="0" applyBorder="1" applyAlignment="1">
      <alignment horizontal="center"/>
    </xf>
    <xf numFmtId="165" fontId="5" fillId="3" borderId="7" xfId="0" applyNumberFormat="1" applyFont="1" applyFill="1" applyBorder="1" applyAlignment="1">
      <alignment horizontal="center"/>
    </xf>
    <xf numFmtId="165" fontId="5" fillId="3" borderId="10" xfId="0" applyNumberFormat="1" applyFont="1" applyFill="1" applyBorder="1" applyAlignment="1">
      <alignment horizontal="center"/>
    </xf>
    <xf numFmtId="0" fontId="5" fillId="2" borderId="0" xfId="0" applyFont="1" applyFill="1" applyAlignment="1">
      <alignment horizontal="center"/>
    </xf>
    <xf numFmtId="165" fontId="18" fillId="3" borderId="88" xfId="0" applyNumberFormat="1" applyFont="1" applyFill="1" applyBorder="1" applyAlignment="1">
      <alignment horizontal="center"/>
    </xf>
    <xf numFmtId="165" fontId="5" fillId="3" borderId="89" xfId="0" applyNumberFormat="1" applyFont="1" applyFill="1" applyBorder="1" applyAlignment="1">
      <alignment horizontal="center"/>
    </xf>
    <xf numFmtId="0" fontId="0" fillId="0" borderId="9" xfId="0" applyBorder="1" applyAlignment="1">
      <alignment horizontal="center"/>
    </xf>
    <xf numFmtId="0" fontId="7" fillId="0" borderId="30" xfId="0" applyFont="1" applyBorder="1"/>
    <xf numFmtId="0" fontId="0" fillId="0" borderId="47" xfId="0" applyBorder="1"/>
    <xf numFmtId="0" fontId="0" fillId="0" borderId="49" xfId="0" applyBorder="1"/>
    <xf numFmtId="0" fontId="0" fillId="0" borderId="50" xfId="0" applyBorder="1"/>
    <xf numFmtId="3" fontId="0" fillId="2" borderId="9" xfId="0" applyNumberFormat="1" applyFill="1" applyBorder="1" applyAlignment="1">
      <alignment horizontal="center"/>
    </xf>
    <xf numFmtId="0" fontId="7" fillId="2" borderId="47" xfId="0" applyFont="1" applyFill="1" applyBorder="1"/>
    <xf numFmtId="7" fontId="0" fillId="0" borderId="9" xfId="1" applyNumberFormat="1" applyFont="1" applyBorder="1" applyAlignment="1">
      <alignment horizontal="center"/>
    </xf>
    <xf numFmtId="0" fontId="7" fillId="4" borderId="29" xfId="0" applyFont="1" applyFill="1" applyBorder="1"/>
    <xf numFmtId="0" fontId="0" fillId="4" borderId="47" xfId="0" applyFill="1" applyBorder="1"/>
    <xf numFmtId="0" fontId="0" fillId="2" borderId="49" xfId="0" applyFill="1" applyBorder="1"/>
    <xf numFmtId="0" fontId="0" fillId="2" borderId="50" xfId="0" applyFill="1" applyBorder="1"/>
    <xf numFmtId="0" fontId="29" fillId="0" borderId="0" xfId="0" applyFont="1" applyAlignment="1">
      <alignment horizontal="center" vertical="top" wrapText="1"/>
    </xf>
    <xf numFmtId="3" fontId="27" fillId="0" borderId="1" xfId="0" applyNumberFormat="1" applyFont="1" applyBorder="1" applyAlignment="1">
      <alignment horizontal="center"/>
    </xf>
    <xf numFmtId="0" fontId="9" fillId="0" borderId="1" xfId="0" applyFont="1" applyBorder="1"/>
    <xf numFmtId="0" fontId="35" fillId="0" borderId="90" xfId="0" applyFont="1" applyBorder="1" applyAlignment="1">
      <alignment horizontal="center"/>
    </xf>
    <xf numFmtId="0" fontId="35" fillId="0" borderId="91" xfId="0" applyFont="1" applyBorder="1" applyAlignment="1">
      <alignment horizontal="center"/>
    </xf>
    <xf numFmtId="4" fontId="35" fillId="0" borderId="91" xfId="0" applyNumberFormat="1" applyFont="1" applyBorder="1" applyAlignment="1">
      <alignment horizontal="center" vertical="center"/>
    </xf>
    <xf numFmtId="3" fontId="35" fillId="0" borderId="91" xfId="0" applyNumberFormat="1" applyFont="1" applyBorder="1" applyAlignment="1">
      <alignment horizontal="center"/>
    </xf>
    <xf numFmtId="164" fontId="35" fillId="0" borderId="92" xfId="0" applyNumberFormat="1" applyFont="1" applyBorder="1" applyAlignment="1">
      <alignment horizontal="center"/>
    </xf>
    <xf numFmtId="0" fontId="35" fillId="0" borderId="93" xfId="0" applyFont="1" applyBorder="1" applyAlignment="1">
      <alignment horizontal="center"/>
    </xf>
    <xf numFmtId="164" fontId="35" fillId="0" borderId="94" xfId="0" applyNumberFormat="1" applyFont="1" applyBorder="1" applyAlignment="1">
      <alignment horizontal="center"/>
    </xf>
    <xf numFmtId="3" fontId="8" fillId="0" borderId="11" xfId="0" applyNumberFormat="1" applyFont="1" applyBorder="1" applyAlignment="1">
      <alignment horizontal="center"/>
    </xf>
    <xf numFmtId="3" fontId="27" fillId="0" borderId="11" xfId="0" applyNumberFormat="1" applyFont="1" applyBorder="1" applyAlignment="1">
      <alignment horizontal="center"/>
    </xf>
    <xf numFmtId="0" fontId="9" fillId="0" borderId="11" xfId="0" applyFont="1" applyBorder="1"/>
    <xf numFmtId="0" fontId="9" fillId="0" borderId="9" xfId="0" applyFont="1" applyBorder="1" applyAlignment="1">
      <alignment horizontal="center"/>
    </xf>
    <xf numFmtId="0" fontId="9" fillId="0" borderId="99" xfId="0" applyFont="1" applyBorder="1" applyAlignment="1">
      <alignment horizontal="center"/>
    </xf>
    <xf numFmtId="0" fontId="26" fillId="0" borderId="99" xfId="0" applyFont="1" applyBorder="1" applyAlignment="1">
      <alignment horizontal="left"/>
    </xf>
    <xf numFmtId="0" fontId="12" fillId="0" borderId="99" xfId="0" applyFont="1" applyBorder="1"/>
    <xf numFmtId="0" fontId="12" fillId="0" borderId="87" xfId="0" applyFont="1" applyBorder="1"/>
    <xf numFmtId="165" fontId="0" fillId="0" borderId="99" xfId="0" applyNumberFormat="1" applyBorder="1" applyAlignment="1">
      <alignment horizontal="center"/>
    </xf>
    <xf numFmtId="164" fontId="0" fillId="0" borderId="1" xfId="0" applyNumberFormat="1" applyBorder="1" applyAlignment="1">
      <alignment horizontal="center"/>
    </xf>
    <xf numFmtId="164" fontId="47" fillId="0" borderId="1" xfId="0" applyNumberFormat="1" applyFont="1" applyBorder="1" applyAlignment="1">
      <alignment horizontal="center"/>
    </xf>
    <xf numFmtId="169" fontId="0" fillId="0" borderId="1" xfId="2" applyNumberFormat="1" applyFont="1" applyBorder="1" applyAlignment="1">
      <alignment horizontal="center"/>
    </xf>
    <xf numFmtId="164" fontId="47" fillId="0" borderId="0" xfId="0" applyNumberFormat="1" applyFont="1" applyAlignment="1">
      <alignment horizontal="center"/>
    </xf>
    <xf numFmtId="169" fontId="0" fillId="0" borderId="0" xfId="2" applyNumberFormat="1" applyFont="1" applyBorder="1" applyAlignment="1">
      <alignment horizontal="center"/>
    </xf>
    <xf numFmtId="166" fontId="0" fillId="0" borderId="0" xfId="0" applyNumberFormat="1"/>
    <xf numFmtId="0" fontId="0" fillId="0" borderId="55" xfId="0" applyBorder="1" applyAlignment="1">
      <alignment horizontal="center"/>
    </xf>
    <xf numFmtId="14" fontId="5" fillId="3" borderId="100" xfId="0" applyNumberFormat="1" applyFont="1" applyFill="1" applyBorder="1" applyAlignment="1">
      <alignment horizontal="center"/>
    </xf>
    <xf numFmtId="14" fontId="5" fillId="3" borderId="13" xfId="0" applyNumberFormat="1" applyFont="1" applyFill="1" applyBorder="1" applyAlignment="1">
      <alignment horizontal="center"/>
    </xf>
    <xf numFmtId="0" fontId="7" fillId="0" borderId="62" xfId="0" applyFont="1" applyBorder="1"/>
    <xf numFmtId="0" fontId="0" fillId="0" borderId="7" xfId="0" applyBorder="1" applyAlignment="1">
      <alignment horizontal="center"/>
    </xf>
    <xf numFmtId="0" fontId="0" fillId="0" borderId="4" xfId="0" applyBorder="1" applyAlignment="1">
      <alignment horizontal="center"/>
    </xf>
    <xf numFmtId="17" fontId="0" fillId="0" borderId="2" xfId="0" applyNumberFormat="1" applyBorder="1" applyAlignment="1">
      <alignment horizontal="center"/>
    </xf>
    <xf numFmtId="17" fontId="0" fillId="0" borderId="10" xfId="0" applyNumberFormat="1" applyBorder="1" applyAlignment="1">
      <alignment horizontal="center"/>
    </xf>
    <xf numFmtId="165" fontId="0" fillId="0" borderId="5" xfId="0" applyNumberFormat="1" applyBorder="1" applyAlignment="1">
      <alignment horizontal="center"/>
    </xf>
    <xf numFmtId="165" fontId="0" fillId="0" borderId="6" xfId="0" applyNumberFormat="1" applyBorder="1" applyAlignment="1">
      <alignment horizontal="center"/>
    </xf>
    <xf numFmtId="0" fontId="0" fillId="0" borderId="0" xfId="0" applyAlignment="1">
      <alignment vertical="center"/>
    </xf>
    <xf numFmtId="0" fontId="13" fillId="2" borderId="101" xfId="0" applyFont="1" applyFill="1" applyBorder="1" applyAlignment="1">
      <alignment horizontal="center"/>
    </xf>
    <xf numFmtId="0" fontId="22" fillId="3" borderId="11" xfId="0" applyFont="1" applyFill="1" applyBorder="1" applyAlignment="1">
      <alignment horizontal="right"/>
    </xf>
    <xf numFmtId="3" fontId="0" fillId="0" borderId="1" xfId="0" applyNumberFormat="1" applyBorder="1" applyAlignment="1">
      <alignment horizontal="center"/>
    </xf>
    <xf numFmtId="164" fontId="0" fillId="3" borderId="104" xfId="0" applyNumberFormat="1" applyFill="1" applyBorder="1" applyAlignment="1">
      <alignment horizontal="center"/>
    </xf>
    <xf numFmtId="164" fontId="0" fillId="3" borderId="105" xfId="0" applyNumberFormat="1" applyFill="1" applyBorder="1" applyAlignment="1">
      <alignment horizontal="center"/>
    </xf>
    <xf numFmtId="164" fontId="0" fillId="3" borderId="105" xfId="0" applyNumberFormat="1" applyFill="1" applyBorder="1" applyAlignment="1">
      <alignment horizontal="center" vertical="center"/>
    </xf>
    <xf numFmtId="0" fontId="6" fillId="0" borderId="0" xfId="0" applyFont="1" applyAlignment="1">
      <alignment horizontal="center" vertical="center"/>
    </xf>
    <xf numFmtId="0" fontId="6" fillId="12" borderId="49" xfId="0" applyFont="1" applyFill="1" applyBorder="1" applyAlignment="1">
      <alignment horizontal="right" vertical="center"/>
    </xf>
    <xf numFmtId="0" fontId="5" fillId="0" borderId="51" xfId="0" applyFont="1" applyBorder="1" applyAlignment="1">
      <alignment vertical="center"/>
    </xf>
    <xf numFmtId="165" fontId="5" fillId="2" borderId="49" xfId="0" applyNumberFormat="1" applyFont="1" applyFill="1" applyBorder="1" applyAlignment="1">
      <alignment horizontal="center" vertical="center"/>
    </xf>
    <xf numFmtId="165" fontId="5" fillId="2" borderId="50" xfId="0" applyNumberFormat="1" applyFont="1" applyFill="1" applyBorder="1" applyAlignment="1">
      <alignment horizontal="center" vertical="center"/>
    </xf>
    <xf numFmtId="165" fontId="13" fillId="11" borderId="42" xfId="0" applyNumberFormat="1" applyFont="1" applyFill="1" applyBorder="1" applyAlignment="1">
      <alignment horizontal="center"/>
    </xf>
    <xf numFmtId="165" fontId="13" fillId="11" borderId="39" xfId="0" applyNumberFormat="1" applyFont="1" applyFill="1" applyBorder="1" applyAlignment="1">
      <alignment horizontal="center"/>
    </xf>
    <xf numFmtId="165" fontId="45" fillId="11" borderId="39" xfId="0" applyNumberFormat="1" applyFont="1" applyFill="1" applyBorder="1" applyAlignment="1">
      <alignment horizontal="center"/>
    </xf>
    <xf numFmtId="165" fontId="13" fillId="2" borderId="16" xfId="0" applyNumberFormat="1" applyFont="1" applyFill="1" applyBorder="1" applyAlignment="1">
      <alignment horizontal="center"/>
    </xf>
    <xf numFmtId="165" fontId="13" fillId="2" borderId="43" xfId="0" applyNumberFormat="1" applyFont="1" applyFill="1" applyBorder="1" applyAlignment="1">
      <alignment horizontal="center"/>
    </xf>
    <xf numFmtId="165" fontId="22" fillId="2" borderId="39" xfId="0" applyNumberFormat="1" applyFont="1" applyFill="1" applyBorder="1" applyAlignment="1">
      <alignment horizontal="center"/>
    </xf>
    <xf numFmtId="0" fontId="22" fillId="0" borderId="66" xfId="0" applyFont="1" applyBorder="1" applyAlignment="1">
      <alignment horizontal="left"/>
    </xf>
    <xf numFmtId="0" fontId="13" fillId="0" borderId="65" xfId="0" applyFont="1" applyBorder="1" applyAlignment="1">
      <alignment horizontal="right"/>
    </xf>
    <xf numFmtId="165" fontId="28" fillId="0" borderId="64" xfId="0" applyNumberFormat="1" applyFont="1" applyBorder="1" applyAlignment="1">
      <alignment horizontal="center"/>
    </xf>
    <xf numFmtId="165" fontId="46" fillId="0" borderId="64" xfId="0" applyNumberFormat="1" applyFont="1" applyBorder="1" applyAlignment="1">
      <alignment horizontal="center"/>
    </xf>
    <xf numFmtId="165" fontId="13" fillId="15" borderId="16" xfId="0" applyNumberFormat="1" applyFont="1" applyFill="1" applyBorder="1" applyAlignment="1">
      <alignment horizontal="center"/>
    </xf>
    <xf numFmtId="165" fontId="22" fillId="15" borderId="39" xfId="0" applyNumberFormat="1" applyFont="1" applyFill="1" applyBorder="1" applyAlignment="1">
      <alignment horizontal="center"/>
    </xf>
    <xf numFmtId="0" fontId="29" fillId="15" borderId="69" xfId="0" applyFont="1" applyFill="1" applyBorder="1" applyAlignment="1">
      <alignment horizontal="center" vertical="center" wrapText="1"/>
    </xf>
    <xf numFmtId="164" fontId="44" fillId="15" borderId="71" xfId="0" applyNumberFormat="1" applyFont="1" applyFill="1" applyBorder="1" applyAlignment="1">
      <alignment horizontal="center"/>
    </xf>
    <xf numFmtId="164" fontId="44" fillId="15" borderId="95" xfId="0" applyNumberFormat="1" applyFont="1" applyFill="1" applyBorder="1" applyAlignment="1">
      <alignment horizontal="center"/>
    </xf>
    <xf numFmtId="0" fontId="29" fillId="2" borderId="70" xfId="0" applyFont="1" applyFill="1" applyBorder="1" applyAlignment="1">
      <alignment horizontal="center" vertical="center" wrapText="1"/>
    </xf>
    <xf numFmtId="164" fontId="35" fillId="2" borderId="72" xfId="0" applyNumberFormat="1" applyFont="1" applyFill="1" applyBorder="1" applyAlignment="1">
      <alignment horizontal="center"/>
    </xf>
    <xf numFmtId="164" fontId="35" fillId="2" borderId="96" xfId="0" applyNumberFormat="1" applyFont="1" applyFill="1" applyBorder="1" applyAlignment="1">
      <alignment horizontal="center"/>
    </xf>
    <xf numFmtId="167" fontId="48" fillId="0" borderId="11" xfId="0" applyNumberFormat="1" applyFont="1" applyBorder="1" applyAlignment="1">
      <alignment horizontal="center"/>
    </xf>
    <xf numFmtId="167" fontId="49" fillId="4" borderId="11" xfId="0" applyNumberFormat="1" applyFont="1" applyFill="1" applyBorder="1" applyAlignment="1">
      <alignment horizontal="center"/>
    </xf>
    <xf numFmtId="3" fontId="48" fillId="0" borderId="1" xfId="0" applyNumberFormat="1" applyFont="1" applyBorder="1" applyAlignment="1">
      <alignment horizontal="center"/>
    </xf>
    <xf numFmtId="3" fontId="49" fillId="4" borderId="9" xfId="0" applyNumberFormat="1" applyFont="1" applyFill="1" applyBorder="1" applyAlignment="1">
      <alignment horizontal="center"/>
    </xf>
    <xf numFmtId="3" fontId="48" fillId="0" borderId="9" xfId="0" applyNumberFormat="1" applyFont="1" applyBorder="1" applyAlignment="1">
      <alignment horizontal="center"/>
    </xf>
    <xf numFmtId="167" fontId="48" fillId="0" borderId="14" xfId="0" applyNumberFormat="1" applyFont="1" applyBorder="1" applyAlignment="1">
      <alignment horizontal="center"/>
    </xf>
    <xf numFmtId="167" fontId="49" fillId="4" borderId="14" xfId="0" applyNumberFormat="1" applyFont="1" applyFill="1" applyBorder="1" applyAlignment="1">
      <alignment horizontal="center"/>
    </xf>
    <xf numFmtId="165" fontId="29" fillId="14" borderId="103" xfId="0" applyNumberFormat="1" applyFont="1" applyFill="1" applyBorder="1" applyAlignment="1">
      <alignment horizontal="center"/>
    </xf>
    <xf numFmtId="0" fontId="29" fillId="14" borderId="102" xfId="0" applyFont="1" applyFill="1" applyBorder="1" applyAlignment="1">
      <alignment horizontal="right"/>
    </xf>
    <xf numFmtId="0" fontId="0" fillId="7" borderId="0" xfId="0" applyFill="1"/>
    <xf numFmtId="0" fontId="5" fillId="7" borderId="0" xfId="0" applyFont="1" applyFill="1" applyAlignment="1">
      <alignment horizontal="center"/>
    </xf>
    <xf numFmtId="165" fontId="0" fillId="2" borderId="0" xfId="0" applyNumberFormat="1" applyFill="1" applyAlignment="1">
      <alignment horizontal="center"/>
    </xf>
    <xf numFmtId="0" fontId="6" fillId="12" borderId="107" xfId="0" applyFont="1" applyFill="1" applyBorder="1" applyAlignment="1">
      <alignment horizontal="right"/>
    </xf>
    <xf numFmtId="0" fontId="6" fillId="12" borderId="108" xfId="0" applyFont="1" applyFill="1" applyBorder="1" applyAlignment="1">
      <alignment horizontal="right"/>
    </xf>
    <xf numFmtId="0" fontId="33" fillId="0" borderId="0" xfId="0" applyFont="1" applyAlignment="1">
      <alignment horizontal="right"/>
    </xf>
    <xf numFmtId="176" fontId="5" fillId="12" borderId="108" xfId="0" applyNumberFormat="1" applyFont="1" applyFill="1" applyBorder="1" applyAlignment="1">
      <alignment horizontal="center"/>
    </xf>
    <xf numFmtId="176" fontId="5" fillId="12" borderId="109" xfId="0" applyNumberFormat="1" applyFont="1" applyFill="1" applyBorder="1" applyAlignment="1">
      <alignment horizontal="center"/>
    </xf>
    <xf numFmtId="165" fontId="29" fillId="14" borderId="110" xfId="0" applyNumberFormat="1" applyFont="1" applyFill="1" applyBorder="1" applyAlignment="1">
      <alignment horizontal="center"/>
    </xf>
    <xf numFmtId="167" fontId="48" fillId="0" borderId="12" xfId="0" applyNumberFormat="1" applyFont="1" applyBorder="1" applyAlignment="1">
      <alignment horizontal="center"/>
    </xf>
    <xf numFmtId="167" fontId="48" fillId="0" borderId="54" xfId="0" applyNumberFormat="1" applyFont="1" applyBorder="1" applyAlignment="1">
      <alignment horizontal="center"/>
    </xf>
    <xf numFmtId="165" fontId="13" fillId="11" borderId="41" xfId="0" applyNumberFormat="1" applyFont="1" applyFill="1" applyBorder="1" applyAlignment="1">
      <alignment horizontal="center"/>
    </xf>
    <xf numFmtId="165" fontId="13" fillId="11" borderId="111" xfId="0" applyNumberFormat="1" applyFont="1" applyFill="1" applyBorder="1" applyAlignment="1">
      <alignment horizontal="center"/>
    </xf>
    <xf numFmtId="167" fontId="48" fillId="0" borderId="55" xfId="0" applyNumberFormat="1" applyFont="1" applyBorder="1" applyAlignment="1">
      <alignment horizontal="center"/>
    </xf>
    <xf numFmtId="165" fontId="13" fillId="11" borderId="38" xfId="0" applyNumberFormat="1" applyFont="1" applyFill="1" applyBorder="1" applyAlignment="1">
      <alignment horizontal="center"/>
    </xf>
    <xf numFmtId="165" fontId="13" fillId="11" borderId="45" xfId="0" applyNumberFormat="1" applyFont="1" applyFill="1" applyBorder="1" applyAlignment="1">
      <alignment horizontal="center"/>
    </xf>
    <xf numFmtId="165" fontId="28" fillId="0" borderId="113" xfId="0" applyNumberFormat="1" applyFont="1" applyBorder="1" applyAlignment="1">
      <alignment horizontal="center"/>
    </xf>
    <xf numFmtId="165" fontId="29" fillId="14" borderId="114" xfId="0" applyNumberFormat="1" applyFont="1" applyFill="1" applyBorder="1" applyAlignment="1">
      <alignment horizontal="center"/>
    </xf>
    <xf numFmtId="167" fontId="48" fillId="0" borderId="21" xfId="0" applyNumberFormat="1" applyFont="1" applyBorder="1" applyAlignment="1">
      <alignment horizontal="center"/>
    </xf>
    <xf numFmtId="3" fontId="48" fillId="0" borderId="99" xfId="0" applyNumberFormat="1" applyFont="1" applyBorder="1" applyAlignment="1">
      <alignment horizontal="center"/>
    </xf>
    <xf numFmtId="165" fontId="28" fillId="0" borderId="63" xfId="0" applyNumberFormat="1" applyFont="1" applyBorder="1" applyAlignment="1">
      <alignment horizontal="center"/>
    </xf>
    <xf numFmtId="0" fontId="35" fillId="0" borderId="115" xfId="0" applyFont="1" applyBorder="1" applyAlignment="1">
      <alignment horizontal="center"/>
    </xf>
    <xf numFmtId="0" fontId="35" fillId="0" borderId="105" xfId="0" applyFont="1" applyBorder="1" applyAlignment="1">
      <alignment horizontal="center"/>
    </xf>
    <xf numFmtId="4" fontId="35" fillId="0" borderId="105" xfId="0" applyNumberFormat="1" applyFont="1" applyBorder="1" applyAlignment="1">
      <alignment horizontal="center" vertical="center"/>
    </xf>
    <xf numFmtId="3" fontId="35" fillId="0" borderId="105" xfId="0" applyNumberFormat="1" applyFont="1" applyBorder="1" applyAlignment="1">
      <alignment horizontal="center"/>
    </xf>
    <xf numFmtId="164" fontId="35" fillId="0" borderId="116" xfId="0" applyNumberFormat="1" applyFont="1" applyBorder="1" applyAlignment="1">
      <alignment horizontal="center"/>
    </xf>
    <xf numFmtId="0" fontId="0" fillId="0" borderId="87" xfId="0" applyBorder="1" applyAlignment="1">
      <alignment horizontal="center"/>
    </xf>
    <xf numFmtId="165" fontId="0" fillId="0" borderId="87" xfId="0" applyNumberFormat="1" applyBorder="1" applyAlignment="1">
      <alignment horizontal="center"/>
    </xf>
    <xf numFmtId="175" fontId="0" fillId="0" borderId="0" xfId="1" applyNumberFormat="1" applyFont="1" applyAlignment="1"/>
    <xf numFmtId="175" fontId="0" fillId="0" borderId="0" xfId="0" applyNumberFormat="1"/>
    <xf numFmtId="9" fontId="0" fillId="0" borderId="0" xfId="0" applyNumberFormat="1"/>
    <xf numFmtId="9" fontId="0" fillId="2" borderId="0" xfId="0" applyNumberFormat="1" applyFill="1" applyAlignment="1">
      <alignment horizontal="center"/>
    </xf>
    <xf numFmtId="3" fontId="0" fillId="0" borderId="9" xfId="0" applyNumberFormat="1" applyBorder="1" applyAlignment="1">
      <alignment horizontal="center"/>
    </xf>
    <xf numFmtId="0" fontId="37" fillId="0" borderId="33" xfId="0" applyFont="1" applyBorder="1" applyAlignment="1">
      <alignment horizontal="center"/>
    </xf>
    <xf numFmtId="0" fontId="13" fillId="0" borderId="33" xfId="0" applyFont="1" applyBorder="1"/>
    <xf numFmtId="165" fontId="52" fillId="2" borderId="110" xfId="0" applyNumberFormat="1" applyFont="1" applyFill="1" applyBorder="1" applyAlignment="1">
      <alignment horizontal="center"/>
    </xf>
    <xf numFmtId="165" fontId="12" fillId="3" borderId="84" xfId="0" applyNumberFormat="1" applyFont="1" applyFill="1" applyBorder="1" applyAlignment="1">
      <alignment horizontal="center"/>
    </xf>
    <xf numFmtId="165" fontId="52" fillId="2" borderId="110" xfId="0" applyNumberFormat="1" applyFont="1" applyFill="1" applyBorder="1" applyAlignment="1" applyProtection="1">
      <alignment horizontal="center"/>
      <protection locked="0"/>
    </xf>
    <xf numFmtId="0" fontId="18" fillId="8" borderId="120" xfId="0" applyFont="1" applyFill="1" applyBorder="1" applyAlignment="1">
      <alignment horizontal="right"/>
    </xf>
    <xf numFmtId="0" fontId="29" fillId="8" borderId="119" xfId="0" applyFont="1" applyFill="1" applyBorder="1" applyAlignment="1">
      <alignment horizontal="center"/>
    </xf>
    <xf numFmtId="0" fontId="22" fillId="3" borderId="98" xfId="0" applyFont="1" applyFill="1" applyBorder="1" applyAlignment="1">
      <alignment horizontal="right"/>
    </xf>
    <xf numFmtId="0" fontId="50" fillId="3" borderId="22" xfId="0" applyFont="1" applyFill="1" applyBorder="1" applyAlignment="1">
      <alignment horizontal="center"/>
    </xf>
    <xf numFmtId="165" fontId="12" fillId="3" borderId="125" xfId="0" applyNumberFormat="1" applyFont="1" applyFill="1" applyBorder="1" applyAlignment="1">
      <alignment horizontal="center"/>
    </xf>
    <xf numFmtId="0" fontId="22" fillId="0" borderId="67" xfId="0" applyFont="1" applyBorder="1" applyAlignment="1">
      <alignment horizontal="center"/>
    </xf>
    <xf numFmtId="0" fontId="12" fillId="0" borderId="49" xfId="0" applyFont="1" applyBorder="1"/>
    <xf numFmtId="0" fontId="29" fillId="3" borderId="85" xfId="0" applyFont="1" applyFill="1" applyBorder="1" applyAlignment="1">
      <alignment horizontal="center"/>
    </xf>
    <xf numFmtId="0" fontId="0" fillId="0" borderId="12" xfId="0" applyBorder="1"/>
    <xf numFmtId="165" fontId="5" fillId="0" borderId="47" xfId="0" applyNumberFormat="1" applyFont="1" applyBorder="1"/>
    <xf numFmtId="0" fontId="22" fillId="8" borderId="106" xfId="0" applyFont="1" applyFill="1" applyBorder="1" applyAlignment="1">
      <alignment horizontal="right"/>
    </xf>
    <xf numFmtId="0" fontId="22" fillId="8" borderId="37" xfId="0" applyFont="1" applyFill="1" applyBorder="1" applyAlignment="1">
      <alignment horizontal="right"/>
    </xf>
    <xf numFmtId="165" fontId="13" fillId="12" borderId="98" xfId="0" applyNumberFormat="1" applyFont="1" applyFill="1" applyBorder="1" applyAlignment="1">
      <alignment horizontal="center"/>
    </xf>
    <xf numFmtId="165" fontId="13" fillId="12" borderId="0" xfId="0" applyNumberFormat="1" applyFont="1" applyFill="1" applyAlignment="1">
      <alignment horizontal="center"/>
    </xf>
    <xf numFmtId="3" fontId="43" fillId="0" borderId="1" xfId="0" applyNumberFormat="1" applyFont="1" applyBorder="1" applyAlignment="1">
      <alignment horizontal="center"/>
    </xf>
    <xf numFmtId="0" fontId="54" fillId="0" borderId="0" xfId="0" applyFont="1"/>
    <xf numFmtId="0" fontId="50" fillId="7" borderId="122" xfId="0" applyFont="1" applyFill="1" applyBorder="1" applyAlignment="1">
      <alignment horizontal="center" vertical="center" wrapText="1"/>
    </xf>
    <xf numFmtId="0" fontId="50" fillId="7" borderId="123" xfId="0" applyFont="1" applyFill="1" applyBorder="1" applyAlignment="1">
      <alignment horizontal="center" vertical="center" wrapText="1"/>
    </xf>
    <xf numFmtId="0" fontId="55" fillId="7" borderId="123" xfId="0" applyFont="1" applyFill="1" applyBorder="1" applyAlignment="1">
      <alignment horizontal="center" vertical="center" wrapText="1"/>
    </xf>
    <xf numFmtId="0" fontId="50" fillId="7" borderId="126" xfId="0" applyFont="1" applyFill="1" applyBorder="1" applyAlignment="1">
      <alignment horizontal="center" vertical="center" wrapText="1"/>
    </xf>
    <xf numFmtId="0" fontId="29" fillId="0" borderId="19" xfId="0" applyFont="1" applyBorder="1" applyAlignment="1">
      <alignment horizontal="right"/>
    </xf>
    <xf numFmtId="0" fontId="12" fillId="0" borderId="21" xfId="0" applyFont="1" applyBorder="1"/>
    <xf numFmtId="0" fontId="0" fillId="0" borderId="21" xfId="0" applyBorder="1"/>
    <xf numFmtId="0" fontId="8" fillId="0" borderId="55" xfId="0" applyFont="1" applyBorder="1" applyAlignment="1">
      <alignment horizontal="left" vertical="top" wrapText="1"/>
    </xf>
    <xf numFmtId="0" fontId="0" fillId="0" borderId="54" xfId="0" applyBorder="1" applyAlignment="1">
      <alignment wrapText="1"/>
    </xf>
    <xf numFmtId="0" fontId="0" fillId="0" borderId="56" xfId="0" applyBorder="1" applyAlignment="1">
      <alignment wrapText="1"/>
    </xf>
    <xf numFmtId="0" fontId="0" fillId="0" borderId="97" xfId="0" applyBorder="1" applyAlignment="1">
      <alignment wrapText="1"/>
    </xf>
    <xf numFmtId="0" fontId="0" fillId="0" borderId="0" xfId="0" applyAlignment="1">
      <alignment wrapText="1"/>
    </xf>
    <xf numFmtId="0" fontId="0" fillId="0" borderId="98" xfId="0" applyBorder="1" applyAlignment="1">
      <alignment wrapText="1"/>
    </xf>
    <xf numFmtId="0" fontId="0" fillId="0" borderId="12" xfId="0" applyBorder="1" applyAlignment="1">
      <alignment wrapText="1"/>
    </xf>
    <xf numFmtId="0" fontId="0" fillId="0" borderId="21" xfId="0" applyBorder="1" applyAlignment="1">
      <alignment wrapText="1"/>
    </xf>
    <xf numFmtId="0" fontId="0" fillId="0" borderId="57" xfId="0" applyBorder="1" applyAlignment="1">
      <alignment wrapText="1"/>
    </xf>
    <xf numFmtId="0" fontId="8" fillId="0" borderId="55" xfId="0" applyFont="1" applyBorder="1" applyAlignment="1">
      <alignment vertical="top" wrapText="1"/>
    </xf>
    <xf numFmtId="0" fontId="8" fillId="0" borderId="55" xfId="0" applyFont="1" applyBorder="1" applyAlignment="1">
      <alignment wrapText="1"/>
    </xf>
    <xf numFmtId="0" fontId="29" fillId="2" borderId="86" xfId="0" applyFont="1" applyFill="1" applyBorder="1" applyAlignment="1">
      <alignment horizontal="center"/>
    </xf>
    <xf numFmtId="0" fontId="13" fillId="0" borderId="68" xfId="0" applyFont="1" applyBorder="1" applyAlignment="1">
      <alignment horizontal="center"/>
    </xf>
    <xf numFmtId="0" fontId="29" fillId="0" borderId="0" xfId="0" applyFont="1" applyAlignment="1">
      <alignment horizontal="center" wrapText="1"/>
    </xf>
    <xf numFmtId="0" fontId="34" fillId="0" borderId="73" xfId="0" applyFont="1" applyBorder="1" applyAlignment="1" applyProtection="1">
      <alignment horizontal="center" vertical="center" wrapText="1"/>
      <protection locked="0"/>
    </xf>
    <xf numFmtId="0" fontId="34" fillId="0" borderId="52" xfId="0" applyFont="1" applyBorder="1" applyAlignment="1" applyProtection="1">
      <alignment horizontal="center" vertical="center" wrapText="1"/>
      <protection locked="0"/>
    </xf>
    <xf numFmtId="0" fontId="34" fillId="0" borderId="74"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19" fillId="0" borderId="74" xfId="0" applyFont="1" applyBorder="1" applyAlignment="1">
      <alignment vertical="center" wrapText="1"/>
    </xf>
    <xf numFmtId="0" fontId="19" fillId="0" borderId="0" xfId="0" applyFont="1" applyAlignment="1">
      <alignment vertical="center" wrapText="1"/>
    </xf>
    <xf numFmtId="0" fontId="0" fillId="0" borderId="74" xfId="0" applyBorder="1" applyAlignment="1">
      <alignment wrapText="1"/>
    </xf>
    <xf numFmtId="0" fontId="0" fillId="0" borderId="75" xfId="0" applyBorder="1" applyAlignment="1">
      <alignment wrapText="1"/>
    </xf>
    <xf numFmtId="0" fontId="0" fillId="0" borderId="19" xfId="0" applyBorder="1" applyAlignment="1">
      <alignment wrapText="1"/>
    </xf>
    <xf numFmtId="0" fontId="38" fillId="0" borderId="14" xfId="0" applyFont="1" applyBorder="1" applyAlignment="1">
      <alignment horizontal="center" vertical="center" wrapText="1"/>
    </xf>
    <xf numFmtId="0" fontId="19" fillId="0" borderId="124" xfId="0" applyFont="1" applyBorder="1" applyAlignment="1">
      <alignment horizontal="center" vertical="center" wrapText="1"/>
    </xf>
    <xf numFmtId="0" fontId="0" fillId="0" borderId="11" xfId="0" applyBorder="1" applyAlignment="1">
      <alignment vertical="center" wrapText="1"/>
    </xf>
    <xf numFmtId="0" fontId="50" fillId="8" borderId="22" xfId="0" applyFont="1" applyFill="1" applyBorder="1" applyAlignment="1">
      <alignment horizontal="left" wrapText="1"/>
    </xf>
    <xf numFmtId="0" fontId="53" fillId="8" borderId="27" xfId="0" applyFont="1" applyFill="1" applyBorder="1" applyAlignment="1">
      <alignment horizontal="left" wrapText="1"/>
    </xf>
    <xf numFmtId="0" fontId="53" fillId="8" borderId="32" xfId="0" applyFont="1" applyFill="1" applyBorder="1" applyAlignment="1">
      <alignment horizontal="left" wrapText="1"/>
    </xf>
    <xf numFmtId="0" fontId="29" fillId="2" borderId="20" xfId="0" applyFont="1" applyFill="1" applyBorder="1" applyAlignment="1" applyProtection="1">
      <alignment horizontal="center"/>
      <protection locked="0"/>
    </xf>
    <xf numFmtId="0" fontId="13" fillId="0" borderId="101" xfId="0" applyFont="1" applyBorder="1"/>
    <xf numFmtId="0" fontId="23" fillId="0" borderId="58" xfId="0" applyFont="1" applyBorder="1" applyAlignment="1">
      <alignment horizontal="center" wrapText="1"/>
    </xf>
    <xf numFmtId="0" fontId="23" fillId="0" borderId="11" xfId="0" applyFont="1" applyBorder="1" applyAlignment="1">
      <alignment horizontal="center" wrapText="1"/>
    </xf>
    <xf numFmtId="0" fontId="13" fillId="2" borderId="106" xfId="0" applyFont="1" applyFill="1" applyBorder="1" applyAlignment="1">
      <alignment horizontal="right"/>
    </xf>
    <xf numFmtId="0" fontId="13" fillId="2" borderId="42" xfId="0" applyFont="1" applyFill="1" applyBorder="1"/>
    <xf numFmtId="0" fontId="38" fillId="13" borderId="77" xfId="0" applyFont="1" applyFill="1" applyBorder="1" applyAlignment="1">
      <alignment horizontal="center" vertical="center"/>
    </xf>
    <xf numFmtId="0" fontId="39" fillId="13" borderId="66" xfId="0" applyFont="1" applyFill="1" applyBorder="1" applyAlignment="1">
      <alignment horizontal="center" vertical="center"/>
    </xf>
    <xf numFmtId="174" fontId="37" fillId="7" borderId="24" xfId="0" applyNumberFormat="1" applyFont="1" applyFill="1" applyBorder="1" applyAlignment="1">
      <alignment horizontal="center" vertical="center"/>
    </xf>
    <xf numFmtId="174" fontId="40" fillId="7" borderId="63" xfId="0" applyNumberFormat="1" applyFont="1" applyFill="1" applyBorder="1" applyAlignment="1">
      <alignment horizontal="center" vertical="center"/>
    </xf>
    <xf numFmtId="0" fontId="50" fillId="2" borderId="49" xfId="0" applyFont="1" applyFill="1" applyBorder="1" applyAlignment="1">
      <alignment horizontal="center"/>
    </xf>
    <xf numFmtId="0" fontId="53" fillId="2" borderId="49" xfId="0" applyFont="1" applyFill="1" applyBorder="1" applyAlignment="1">
      <alignment horizontal="center"/>
    </xf>
    <xf numFmtId="0" fontId="53" fillId="2" borderId="50" xfId="0" applyFont="1" applyFill="1" applyBorder="1" applyAlignment="1">
      <alignment horizontal="center"/>
    </xf>
    <xf numFmtId="0" fontId="12" fillId="8" borderId="121" xfId="0" applyFont="1" applyFill="1" applyBorder="1"/>
    <xf numFmtId="0" fontId="0" fillId="8" borderId="121" xfId="0" applyFill="1" applyBorder="1"/>
    <xf numFmtId="0" fontId="22" fillId="2" borderId="37" xfId="0" applyFont="1" applyFill="1" applyBorder="1" applyAlignment="1">
      <alignment horizontal="right"/>
    </xf>
    <xf numFmtId="0" fontId="22" fillId="2" borderId="39" xfId="0" applyFont="1" applyFill="1" applyBorder="1" applyAlignment="1">
      <alignment horizontal="right"/>
    </xf>
    <xf numFmtId="0" fontId="42" fillId="6" borderId="53" xfId="0" applyFont="1" applyFill="1" applyBorder="1" applyAlignment="1">
      <alignment horizontal="center"/>
    </xf>
    <xf numFmtId="0" fontId="42" fillId="0" borderId="54" xfId="0" applyFont="1" applyBorder="1" applyAlignment="1">
      <alignment horizontal="center"/>
    </xf>
    <xf numFmtId="0" fontId="13" fillId="15" borderId="106" xfId="0" applyFont="1" applyFill="1" applyBorder="1" applyAlignment="1">
      <alignment horizontal="right"/>
    </xf>
    <xf numFmtId="0" fontId="13" fillId="15" borderId="42" xfId="0" applyFont="1" applyFill="1" applyBorder="1"/>
    <xf numFmtId="0" fontId="22" fillId="15" borderId="37" xfId="0" applyFont="1" applyFill="1" applyBorder="1" applyAlignment="1">
      <alignment horizontal="right"/>
    </xf>
    <xf numFmtId="0" fontId="22" fillId="15" borderId="39" xfId="0" applyFont="1" applyFill="1" applyBorder="1" applyAlignment="1">
      <alignment horizontal="right"/>
    </xf>
    <xf numFmtId="0" fontId="50" fillId="0" borderId="112" xfId="0" applyFont="1" applyBorder="1" applyAlignment="1">
      <alignment horizontal="center" vertical="center" wrapText="1"/>
    </xf>
    <xf numFmtId="0" fontId="50" fillId="0" borderId="85" xfId="0" applyFont="1" applyBorder="1" applyAlignment="1">
      <alignment horizontal="center" vertical="center" wrapText="1"/>
    </xf>
    <xf numFmtId="0" fontId="51" fillId="0" borderId="85" xfId="0" applyFont="1" applyBorder="1" applyAlignment="1">
      <alignment wrapText="1"/>
    </xf>
    <xf numFmtId="0" fontId="51" fillId="0" borderId="84" xfId="0" applyFont="1" applyBorder="1" applyAlignment="1">
      <alignment wrapText="1"/>
    </xf>
    <xf numFmtId="165" fontId="0" fillId="0" borderId="0" xfId="0" applyNumberFormat="1" applyAlignment="1">
      <alignment horizontal="center"/>
    </xf>
    <xf numFmtId="0" fontId="24" fillId="0" borderId="0" xfId="0" applyFont="1" applyAlignment="1">
      <alignment horizontal="center" vertical="center"/>
    </xf>
    <xf numFmtId="0" fontId="5" fillId="0" borderId="0" xfId="0" applyFont="1" applyAlignment="1">
      <alignment horizontal="center"/>
    </xf>
    <xf numFmtId="0" fontId="5" fillId="0" borderId="0" xfId="0" applyFont="1"/>
    <xf numFmtId="0" fontId="0" fillId="0" borderId="33" xfId="0" applyBorder="1"/>
    <xf numFmtId="0" fontId="0" fillId="0" borderId="59" xfId="0" applyBorder="1" applyAlignment="1">
      <alignment horizontal="center"/>
    </xf>
    <xf numFmtId="0" fontId="0" fillId="0" borderId="60" xfId="0" applyBorder="1" applyAlignment="1">
      <alignment horizontal="center"/>
    </xf>
    <xf numFmtId="172" fontId="18" fillId="0" borderId="49" xfId="0" applyNumberFormat="1" applyFont="1" applyBorder="1" applyAlignment="1">
      <alignment horizontal="center" vertical="center"/>
    </xf>
    <xf numFmtId="172" fontId="0" fillId="0" borderId="49" xfId="0" applyNumberFormat="1" applyBorder="1" applyAlignment="1">
      <alignment horizontal="center" vertical="center"/>
    </xf>
    <xf numFmtId="0" fontId="19" fillId="0" borderId="0" xfId="0" applyFont="1" applyAlignment="1">
      <alignment vertical="center"/>
    </xf>
    <xf numFmtId="0" fontId="0" fillId="0" borderId="0" xfId="0" applyAlignment="1">
      <alignment vertical="center"/>
    </xf>
    <xf numFmtId="0" fontId="0" fillId="0" borderId="61" xfId="0" applyBorder="1" applyAlignment="1">
      <alignment horizontal="center"/>
    </xf>
    <xf numFmtId="0" fontId="0" fillId="0" borderId="62" xfId="0" applyBorder="1" applyAlignment="1">
      <alignment horizontal="center"/>
    </xf>
    <xf numFmtId="0" fontId="6" fillId="9" borderId="0" xfId="0" applyFont="1" applyFill="1" applyAlignment="1">
      <alignment horizontal="center" vertical="center" wrapText="1"/>
    </xf>
    <xf numFmtId="0" fontId="0" fillId="9" borderId="0" xfId="0" applyFill="1" applyAlignment="1">
      <alignment horizontal="center" vertical="center" wrapText="1"/>
    </xf>
    <xf numFmtId="173" fontId="25" fillId="0" borderId="33" xfId="0" applyNumberFormat="1" applyFont="1" applyBorder="1" applyAlignment="1">
      <alignment horizontal="center"/>
    </xf>
    <xf numFmtId="0" fontId="20" fillId="2" borderId="51" xfId="0" applyFont="1" applyFill="1" applyBorder="1" applyAlignment="1" applyProtection="1">
      <alignment horizontal="center" vertical="center"/>
      <protection locked="0"/>
    </xf>
    <xf numFmtId="0" fontId="20" fillId="2" borderId="50" xfId="0" applyFont="1" applyFill="1" applyBorder="1" applyProtection="1">
      <protection locked="0"/>
    </xf>
    <xf numFmtId="0" fontId="5" fillId="0" borderId="0" xfId="0" applyFont="1" applyAlignment="1">
      <alignment horizontal="center" wrapText="1"/>
    </xf>
    <xf numFmtId="0" fontId="5" fillId="0" borderId="81" xfId="0" applyFont="1" applyBorder="1" applyAlignment="1">
      <alignment horizontal="center" wrapText="1"/>
    </xf>
    <xf numFmtId="0" fontId="20" fillId="2" borderId="51" xfId="0" applyFont="1" applyFill="1" applyBorder="1" applyAlignment="1" applyProtection="1">
      <alignment horizontal="center"/>
      <protection locked="0"/>
    </xf>
    <xf numFmtId="0" fontId="20" fillId="2" borderId="50" xfId="0" applyFont="1" applyFill="1" applyBorder="1" applyAlignment="1" applyProtection="1">
      <alignment horizontal="center"/>
      <protection locked="0"/>
    </xf>
    <xf numFmtId="165" fontId="0" fillId="0" borderId="9" xfId="0" applyNumberFormat="1" applyBorder="1" applyAlignment="1">
      <alignment horizontal="center"/>
    </xf>
    <xf numFmtId="0" fontId="0" fillId="0" borderId="87" xfId="0" applyBorder="1" applyAlignment="1">
      <alignment horizontal="center"/>
    </xf>
    <xf numFmtId="165" fontId="0" fillId="0" borderId="117" xfId="0" applyNumberFormat="1" applyBorder="1" applyAlignment="1">
      <alignment horizontal="center"/>
    </xf>
    <xf numFmtId="0" fontId="0" fillId="0" borderId="118" xfId="0" applyBorder="1" applyAlignment="1">
      <alignment horizontal="center"/>
    </xf>
    <xf numFmtId="165" fontId="0" fillId="0" borderId="52" xfId="0" applyNumberFormat="1" applyBorder="1" applyAlignment="1">
      <alignment horizontal="center"/>
    </xf>
    <xf numFmtId="0" fontId="0" fillId="0" borderId="52" xfId="0" applyBorder="1" applyAlignment="1">
      <alignment horizontal="center"/>
    </xf>
    <xf numFmtId="165" fontId="0" fillId="0" borderId="19" xfId="0" applyNumberFormat="1" applyBorder="1" applyAlignment="1">
      <alignment horizontal="center"/>
    </xf>
    <xf numFmtId="0" fontId="0" fillId="0" borderId="19" xfId="0" applyBorder="1" applyAlignment="1">
      <alignment horizontal="center"/>
    </xf>
    <xf numFmtId="165" fontId="0" fillId="7" borderId="52" xfId="0" applyNumberFormat="1" applyFill="1" applyBorder="1" applyAlignment="1">
      <alignment horizontal="center"/>
    </xf>
    <xf numFmtId="165" fontId="0" fillId="9" borderId="9" xfId="0" applyNumberFormat="1" applyFill="1" applyBorder="1" applyAlignment="1">
      <alignment horizontal="center"/>
    </xf>
    <xf numFmtId="0" fontId="0" fillId="0" borderId="3" xfId="0" applyBorder="1" applyAlignment="1">
      <alignment horizontal="left"/>
    </xf>
    <xf numFmtId="0" fontId="5" fillId="5" borderId="22" xfId="0" applyFont="1" applyFill="1" applyBorder="1" applyAlignment="1">
      <alignment horizontal="center" vertical="center"/>
    </xf>
    <xf numFmtId="0" fontId="5" fillId="5" borderId="32" xfId="0" applyFont="1" applyFill="1" applyBorder="1" applyAlignment="1">
      <alignment horizontal="center" vertical="center"/>
    </xf>
    <xf numFmtId="165" fontId="34" fillId="5" borderId="24" xfId="0" applyNumberFormat="1" applyFont="1" applyFill="1" applyBorder="1" applyAlignment="1">
      <alignment horizontal="right" wrapText="1"/>
    </xf>
    <xf numFmtId="0" fontId="0" fillId="5" borderId="24" xfId="0" applyFill="1" applyBorder="1" applyAlignment="1">
      <alignment horizontal="right" wrapText="1"/>
    </xf>
    <xf numFmtId="0" fontId="0" fillId="5" borderId="23" xfId="0" applyFill="1" applyBorder="1" applyAlignment="1">
      <alignment horizontal="right" wrapText="1"/>
    </xf>
    <xf numFmtId="0" fontId="0" fillId="5" borderId="33" xfId="0" applyFill="1" applyBorder="1" applyAlignment="1">
      <alignment horizontal="right" wrapText="1"/>
    </xf>
    <xf numFmtId="0" fontId="0" fillId="5" borderId="34" xfId="0" applyFill="1" applyBorder="1" applyAlignment="1">
      <alignment horizontal="right" wrapText="1"/>
    </xf>
    <xf numFmtId="0" fontId="5" fillId="7" borderId="22" xfId="0" applyFont="1" applyFill="1" applyBorder="1" applyAlignment="1">
      <alignment horizontal="center" vertical="center" wrapText="1"/>
    </xf>
    <xf numFmtId="0" fontId="0" fillId="0" borderId="25" xfId="0" applyBorder="1" applyAlignment="1">
      <alignment horizontal="center" vertical="center" wrapText="1"/>
    </xf>
    <xf numFmtId="0" fontId="33" fillId="0" borderId="51" xfId="0" applyFont="1" applyBorder="1" applyAlignment="1">
      <alignment horizontal="center" wrapText="1"/>
    </xf>
    <xf numFmtId="0" fontId="33" fillId="0" borderId="50" xfId="0" applyFont="1" applyBorder="1" applyAlignment="1">
      <alignment horizontal="center" wrapText="1"/>
    </xf>
    <xf numFmtId="0" fontId="0" fillId="0" borderId="0" xfId="0" applyAlignment="1">
      <alignment horizontal="center"/>
    </xf>
    <xf numFmtId="0" fontId="5" fillId="0" borderId="51" xfId="0" applyFont="1" applyBorder="1" applyAlignment="1">
      <alignment horizontal="center"/>
    </xf>
    <xf numFmtId="0" fontId="0" fillId="0" borderId="50" xfId="0" applyBorder="1" applyAlignment="1">
      <alignment horizontal="center"/>
    </xf>
    <xf numFmtId="0" fontId="0" fillId="2" borderId="9" xfId="0" applyFill="1" applyBorder="1" applyAlignment="1">
      <alignment horizontal="center"/>
    </xf>
    <xf numFmtId="164" fontId="0" fillId="0" borderId="9" xfId="0" applyNumberFormat="1" applyBorder="1" applyAlignment="1">
      <alignment horizontal="center"/>
    </xf>
    <xf numFmtId="3" fontId="8" fillId="0" borderId="14" xfId="0" applyNumberFormat="1" applyFont="1" applyBorder="1" applyAlignment="1">
      <alignment horizontal="right" vertical="center" textRotation="180"/>
    </xf>
    <xf numFmtId="0" fontId="0" fillId="0" borderId="11" xfId="0" applyBorder="1" applyAlignment="1">
      <alignment horizontal="right" vertical="center" textRotation="180"/>
    </xf>
    <xf numFmtId="0" fontId="31" fillId="0" borderId="0" xfId="0" applyFont="1" applyAlignment="1">
      <alignment vertical="top" wrapText="1"/>
    </xf>
    <xf numFmtId="0" fontId="31" fillId="0" borderId="0" xfId="0" applyFont="1" applyAlignment="1">
      <alignment horizontal="left" vertical="center" wrapText="1" indent="1"/>
    </xf>
  </cellXfs>
  <cellStyles count="3">
    <cellStyle name="Currency" xfId="1" builtinId="4"/>
    <cellStyle name="Normal" xfId="0" builtinId="0"/>
    <cellStyle name="Percent" xfId="2" builtinId="5"/>
  </cellStyles>
  <dxfs count="4">
    <dxf>
      <font>
        <color theme="1"/>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00FF99"/>
      <color rgb="FF00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235323</xdr:colOff>
      <xdr:row>2</xdr:row>
      <xdr:rowOff>89646</xdr:rowOff>
    </xdr:from>
    <xdr:to>
      <xdr:col>14</xdr:col>
      <xdr:colOff>44823</xdr:colOff>
      <xdr:row>29</xdr:row>
      <xdr:rowOff>246529</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358588" y="549087"/>
          <a:ext cx="10287000" cy="7552766"/>
        </a:xfrm>
        <a:prstGeom prst="roundRect">
          <a:avLst/>
        </a:prstGeom>
        <a:noFill/>
        <a:ln w="63500"/>
        <a:effectLst>
          <a:outerShdw blurRad="482600" dist="50800" dir="5400000" algn="ctr" rotWithShape="0">
            <a:srgbClr val="000000">
              <a:alpha val="43137"/>
            </a:srgbClr>
          </a:outerShdw>
        </a:effectLst>
        <a:scene3d>
          <a:camera prst="orthographicFront"/>
          <a:lightRig rig="threePt" dir="t"/>
        </a:scene3d>
        <a:sp3d prstMaterial="legacyWireframe"/>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r>
            <a:rPr lang="en-US"/>
            <a:t>w</a:t>
          </a:r>
        </a:p>
      </xdr:txBody>
    </xdr:sp>
    <xdr:clientData/>
  </xdr:twoCellAnchor>
  <xdr:twoCellAnchor>
    <xdr:from>
      <xdr:col>7</xdr:col>
      <xdr:colOff>340179</xdr:colOff>
      <xdr:row>2</xdr:row>
      <xdr:rowOff>133670</xdr:rowOff>
    </xdr:from>
    <xdr:to>
      <xdr:col>10</xdr:col>
      <xdr:colOff>301759</xdr:colOff>
      <xdr:row>7</xdr:row>
      <xdr:rowOff>45624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959679" y="609920"/>
          <a:ext cx="2614973" cy="119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2000" b="1"/>
            <a:t>T</a:t>
          </a:r>
          <a:r>
            <a:rPr lang="en-US" sz="1400"/>
            <a:t>rans</a:t>
          </a:r>
          <a:r>
            <a:rPr lang="en-US" sz="2000" b="1"/>
            <a:t>N</a:t>
          </a:r>
          <a:r>
            <a:rPr lang="en-US" sz="1400"/>
            <a:t>orthern </a:t>
          </a:r>
          <a:r>
            <a:rPr lang="en-US" sz="2000" b="1"/>
            <a:t>A</a:t>
          </a:r>
          <a:r>
            <a:rPr lang="en-US" sz="1400"/>
            <a:t>viation</a:t>
          </a:r>
        </a:p>
        <a:p>
          <a:pPr algn="ctr"/>
          <a:r>
            <a:rPr lang="en-US" sz="1200"/>
            <a:t>3350</a:t>
          </a:r>
          <a:r>
            <a:rPr lang="en-US" sz="1200" baseline="0"/>
            <a:t> Old International Airport Road</a:t>
          </a:r>
        </a:p>
        <a:p>
          <a:pPr algn="ctr"/>
          <a:r>
            <a:rPr lang="en-US" sz="1200" baseline="0"/>
            <a:t>Anchorage, AK 99502</a:t>
          </a:r>
        </a:p>
        <a:p>
          <a:pPr algn="ctr"/>
          <a:r>
            <a:rPr lang="en-US" sz="1200" b="1" baseline="0"/>
            <a:t>907-245-1879</a:t>
          </a:r>
          <a:r>
            <a:rPr lang="en-US" sz="1200" baseline="0"/>
            <a:t>   fax 907-245-1878</a:t>
          </a:r>
        </a:p>
        <a:p>
          <a:pPr algn="ctr"/>
          <a:r>
            <a:rPr lang="en-US" sz="1200" baseline="0"/>
            <a:t>web:  www.transnorthern.com</a:t>
          </a:r>
          <a:endParaRPr lang="en-US" sz="1100"/>
        </a:p>
      </xdr:txBody>
    </xdr:sp>
    <xdr:clientData/>
  </xdr:twoCellAnchor>
  <xdr:twoCellAnchor>
    <xdr:from>
      <xdr:col>11</xdr:col>
      <xdr:colOff>220543</xdr:colOff>
      <xdr:row>2</xdr:row>
      <xdr:rowOff>241301</xdr:rowOff>
    </xdr:from>
    <xdr:to>
      <xdr:col>11</xdr:col>
      <xdr:colOff>1232647</xdr:colOff>
      <xdr:row>5</xdr:row>
      <xdr:rowOff>16329</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7582808" y="700742"/>
          <a:ext cx="1012104" cy="570646"/>
        </a:xfrm>
        <a:prstGeom prst="round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2</xdr:col>
      <xdr:colOff>205441</xdr:colOff>
      <xdr:row>19</xdr:row>
      <xdr:rowOff>112059</xdr:rowOff>
    </xdr:from>
    <xdr:to>
      <xdr:col>12</xdr:col>
      <xdr:colOff>815041</xdr:colOff>
      <xdr:row>28</xdr:row>
      <xdr:rowOff>156883</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698500" y="5322794"/>
          <a:ext cx="9551894" cy="2386854"/>
        </a:xfrm>
        <a:prstGeom prst="roundRect">
          <a:avLst/>
        </a:prstGeom>
        <a:solidFill>
          <a:schemeClr val="accent6">
            <a:lumMod val="40000"/>
            <a:lumOff val="60000"/>
            <a:alpha val="11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2</xdr:col>
      <xdr:colOff>454585</xdr:colOff>
      <xdr:row>19</xdr:row>
      <xdr:rowOff>211043</xdr:rowOff>
    </xdr:from>
    <xdr:to>
      <xdr:col>12</xdr:col>
      <xdr:colOff>904689</xdr:colOff>
      <xdr:row>28</xdr:row>
      <xdr:rowOff>144928</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47644" y="5421778"/>
          <a:ext cx="9392398" cy="2275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latin typeface="+mn-lt"/>
              <a:ea typeface="+mn-ea"/>
              <a:cs typeface="+mn-cs"/>
            </a:rPr>
            <a:t>Payment Information</a:t>
          </a:r>
          <a:endParaRPr lang="en-US" sz="1100">
            <a:solidFill>
              <a:schemeClr val="dk1"/>
            </a:solidFill>
            <a:latin typeface="+mn-lt"/>
            <a:ea typeface="+mn-ea"/>
            <a:cs typeface="+mn-cs"/>
          </a:endParaRPr>
        </a:p>
        <a:p>
          <a:r>
            <a:rPr lang="en-US" sz="200">
              <a:solidFill>
                <a:schemeClr val="dk1"/>
              </a:solidFill>
              <a:latin typeface="+mn-lt"/>
              <a:ea typeface="+mn-ea"/>
              <a:cs typeface="+mn-cs"/>
            </a:rPr>
            <a:t> </a:t>
          </a:r>
        </a:p>
        <a:p>
          <a:r>
            <a:rPr lang="en-US" sz="1100">
              <a:solidFill>
                <a:schemeClr val="dk1"/>
              </a:solidFill>
              <a:latin typeface="+mn-lt"/>
              <a:ea typeface="+mn-ea"/>
              <a:cs typeface="+mn-cs"/>
            </a:rPr>
            <a:t>This </a:t>
          </a:r>
          <a:r>
            <a:rPr lang="en-US" sz="1100" b="1">
              <a:solidFill>
                <a:schemeClr val="dk1"/>
              </a:solidFill>
              <a:latin typeface="+mn-lt"/>
              <a:ea typeface="+mn-ea"/>
              <a:cs typeface="+mn-cs"/>
            </a:rPr>
            <a:t>price</a:t>
          </a:r>
          <a:r>
            <a:rPr lang="en-US" sz="1100">
              <a:solidFill>
                <a:schemeClr val="dk1"/>
              </a:solidFill>
              <a:latin typeface="+mn-lt"/>
              <a:ea typeface="+mn-ea"/>
              <a:cs typeface="+mn-cs"/>
            </a:rPr>
            <a:t> is valid for 14</a:t>
          </a:r>
          <a:r>
            <a:rPr lang="en-US" sz="1100" baseline="0">
              <a:solidFill>
                <a:schemeClr val="dk1"/>
              </a:solidFill>
              <a:latin typeface="+mn-lt"/>
              <a:ea typeface="+mn-ea"/>
              <a:cs typeface="+mn-cs"/>
            </a:rPr>
            <a:t> days after the date displayed above.  </a:t>
          </a:r>
          <a:r>
            <a:rPr lang="en-US" sz="1100">
              <a:solidFill>
                <a:schemeClr val="dk1"/>
              </a:solidFill>
              <a:latin typeface="+mn-lt"/>
              <a:ea typeface="+mn-ea"/>
              <a:cs typeface="+mn-cs"/>
            </a:rPr>
            <a:t>A </a:t>
          </a:r>
          <a:r>
            <a:rPr lang="en-US" sz="1100" b="1">
              <a:solidFill>
                <a:schemeClr val="dk1"/>
              </a:solidFill>
              <a:latin typeface="+mn-lt"/>
              <a:ea typeface="+mn-ea"/>
              <a:cs typeface="+mn-cs"/>
            </a:rPr>
            <a:t>50% deposit is required to confirm a charter reservation</a:t>
          </a:r>
          <a:r>
            <a:rPr lang="en-US" sz="1100" b="1" baseline="0">
              <a:solidFill>
                <a:schemeClr val="dk1"/>
              </a:solidFill>
              <a:latin typeface="+mn-lt"/>
              <a:ea typeface="+mn-ea"/>
              <a:cs typeface="+mn-cs"/>
            </a:rPr>
            <a:t> </a:t>
          </a:r>
          <a:r>
            <a:rPr lang="en-US" sz="1100" baseline="0">
              <a:solidFill>
                <a:schemeClr val="dk1"/>
              </a:solidFill>
              <a:latin typeface="+mn-lt"/>
              <a:ea typeface="+mn-ea"/>
              <a:cs typeface="+mn-cs"/>
            </a:rPr>
            <a:t>with the balance  due on the date of the charter.</a:t>
          </a:r>
          <a:r>
            <a:rPr lang="en-US" sz="1100">
              <a:solidFill>
                <a:schemeClr val="dk1"/>
              </a:solidFill>
              <a:latin typeface="+mn-lt"/>
              <a:ea typeface="+mn-ea"/>
              <a:cs typeface="+mn-cs"/>
            </a:rPr>
            <a:t>  Our</a:t>
          </a:r>
          <a:r>
            <a:rPr lang="en-US" sz="1100" baseline="0">
              <a:solidFill>
                <a:schemeClr val="dk1"/>
              </a:solidFill>
              <a:latin typeface="+mn-lt"/>
              <a:ea typeface="+mn-ea"/>
              <a:cs typeface="+mn-cs"/>
            </a:rPr>
            <a:t> aircraft are available on a  'first come, first serve basis,'  there is no guarantee that a specific aircraft will be available until a </a:t>
          </a:r>
          <a:r>
            <a:rPr lang="en-US" sz="1100" b="0" baseline="0">
              <a:solidFill>
                <a:schemeClr val="dk1"/>
              </a:solidFill>
              <a:latin typeface="+mn-lt"/>
              <a:ea typeface="+mn-ea"/>
              <a:cs typeface="+mn-cs"/>
            </a:rPr>
            <a:t>Deposit </a:t>
          </a:r>
          <a:r>
            <a:rPr lang="en-US" sz="1100" baseline="0">
              <a:solidFill>
                <a:schemeClr val="dk1"/>
              </a:solidFill>
              <a:latin typeface="+mn-lt"/>
              <a:ea typeface="+mn-ea"/>
              <a:cs typeface="+mn-cs"/>
            </a:rPr>
            <a:t>is received by TNA.  </a:t>
          </a:r>
          <a:r>
            <a:rPr lang="en-US" sz="1100">
              <a:solidFill>
                <a:schemeClr val="dk1"/>
              </a:solidFill>
              <a:latin typeface="+mn-lt"/>
              <a:ea typeface="+mn-ea"/>
              <a:cs typeface="+mn-cs"/>
            </a:rPr>
            <a:t>Charter Deposits are fully refundable</a:t>
          </a:r>
          <a:r>
            <a:rPr lang="en-US" sz="1100" baseline="0">
              <a:solidFill>
                <a:schemeClr val="dk1"/>
              </a:solidFill>
              <a:latin typeface="+mn-lt"/>
              <a:ea typeface="+mn-ea"/>
              <a:cs typeface="+mn-cs"/>
            </a:rPr>
            <a:t> up to </a:t>
          </a:r>
          <a:r>
            <a:rPr lang="en-US" sz="1100">
              <a:solidFill>
                <a:schemeClr val="dk1"/>
              </a:solidFill>
              <a:latin typeface="+mn-lt"/>
              <a:ea typeface="+mn-ea"/>
              <a:cs typeface="+mn-cs"/>
            </a:rPr>
            <a:t>14 days prior to the date</a:t>
          </a:r>
          <a:r>
            <a:rPr lang="en-US" sz="1100" baseline="0">
              <a:solidFill>
                <a:schemeClr val="dk1"/>
              </a:solidFill>
              <a:latin typeface="+mn-lt"/>
              <a:ea typeface="+mn-ea"/>
              <a:cs typeface="+mn-cs"/>
            </a:rPr>
            <a:t> of flight</a:t>
          </a:r>
          <a:r>
            <a:rPr lang="en-US" sz="1100">
              <a:solidFill>
                <a:schemeClr val="dk1"/>
              </a:solidFill>
              <a:latin typeface="+mn-lt"/>
              <a:ea typeface="+mn-ea"/>
              <a:cs typeface="+mn-cs"/>
            </a:rPr>
            <a:t>. No refunds will be given less than 14 days before departure unless there are special circumstances approved by TransNorthern management.</a:t>
          </a:r>
          <a:r>
            <a:rPr lang="en-US" sz="1100" baseline="0">
              <a:solidFill>
                <a:schemeClr val="dk1"/>
              </a:solidFill>
              <a:latin typeface="+mn-lt"/>
              <a:ea typeface="+mn-ea"/>
              <a:cs typeface="+mn-cs"/>
            </a:rPr>
            <a:t>  </a:t>
          </a:r>
          <a:r>
            <a:rPr lang="en-US" sz="1100">
              <a:solidFill>
                <a:schemeClr val="dk1"/>
              </a:solidFill>
              <a:latin typeface="+mn-lt"/>
              <a:ea typeface="+mn-ea"/>
              <a:cs typeface="+mn-cs"/>
            </a:rPr>
            <a:t>TNA</a:t>
          </a:r>
          <a:r>
            <a:rPr lang="en-US" sz="1100" baseline="0">
              <a:solidFill>
                <a:schemeClr val="dk1"/>
              </a:solidFill>
              <a:latin typeface="+mn-lt"/>
              <a:ea typeface="+mn-ea"/>
              <a:cs typeface="+mn-cs"/>
            </a:rPr>
            <a:t> accepts Cash, </a:t>
          </a:r>
          <a:r>
            <a:rPr lang="en-US" sz="1100">
              <a:solidFill>
                <a:schemeClr val="dk1"/>
              </a:solidFill>
              <a:latin typeface="+mn-lt"/>
              <a:ea typeface="+mn-ea"/>
              <a:cs typeface="+mn-cs"/>
            </a:rPr>
            <a:t>Visa, MasterCard, Discover, Travelers Checks, or check payments. Credit Card payments</a:t>
          </a:r>
          <a:r>
            <a:rPr lang="en-US" sz="1100" baseline="0">
              <a:solidFill>
                <a:schemeClr val="dk1"/>
              </a:solidFill>
              <a:latin typeface="+mn-lt"/>
              <a:ea typeface="+mn-ea"/>
              <a:cs typeface="+mn-cs"/>
            </a:rPr>
            <a:t> will be assessed a processing fee of 3%.</a:t>
          </a:r>
          <a:endParaRPr lang="en-US" sz="1100">
            <a:solidFill>
              <a:schemeClr val="dk1"/>
            </a:solidFill>
            <a:latin typeface="+mn-lt"/>
            <a:ea typeface="+mn-ea"/>
            <a:cs typeface="+mn-cs"/>
          </a:endParaRPr>
        </a:p>
        <a:p>
          <a:endParaRPr lang="en-US" sz="200">
            <a:solidFill>
              <a:schemeClr val="dk1"/>
            </a:solidFill>
            <a:latin typeface="+mn-lt"/>
            <a:ea typeface="+mn-ea"/>
            <a:cs typeface="+mn-cs"/>
          </a:endParaRPr>
        </a:p>
        <a:p>
          <a:r>
            <a:rPr lang="en-US" sz="1100">
              <a:solidFill>
                <a:schemeClr val="dk1"/>
              </a:solidFill>
              <a:latin typeface="+mn-lt"/>
              <a:ea typeface="+mn-ea"/>
              <a:cs typeface="+mn-cs"/>
            </a:rPr>
            <a:t>'Payload'</a:t>
          </a:r>
          <a:r>
            <a:rPr lang="en-US" sz="1100" baseline="0">
              <a:solidFill>
                <a:schemeClr val="dk1"/>
              </a:solidFill>
              <a:latin typeface="+mn-lt"/>
              <a:ea typeface="+mn-ea"/>
              <a:cs typeface="+mn-cs"/>
            </a:rPr>
            <a:t> is the total weight of all passengers, carry ons, baggage and cargo available to the customer.  Certain items are prohibited on passenger flights - Check with TNA when carrying any </a:t>
          </a:r>
          <a:r>
            <a:rPr lang="en-US" sz="1100" b="1" baseline="0">
              <a:solidFill>
                <a:schemeClr val="dk1"/>
              </a:solidFill>
              <a:latin typeface="+mn-lt"/>
              <a:ea typeface="+mn-ea"/>
              <a:cs typeface="+mn-cs"/>
            </a:rPr>
            <a:t>alcohol,</a:t>
          </a:r>
          <a:r>
            <a:rPr lang="en-US" sz="1100" baseline="0">
              <a:solidFill>
                <a:schemeClr val="dk1"/>
              </a:solidFill>
              <a:latin typeface="+mn-lt"/>
              <a:ea typeface="+mn-ea"/>
              <a:cs typeface="+mn-cs"/>
            </a:rPr>
            <a:t> </a:t>
          </a:r>
          <a:r>
            <a:rPr lang="en-US" sz="1100" b="1" baseline="0">
              <a:solidFill>
                <a:schemeClr val="dk1"/>
              </a:solidFill>
              <a:latin typeface="+mn-lt"/>
              <a:ea typeface="+mn-ea"/>
              <a:cs typeface="+mn-cs"/>
            </a:rPr>
            <a:t>weapons</a:t>
          </a:r>
          <a:r>
            <a:rPr lang="en-US" sz="1100" baseline="0">
              <a:solidFill>
                <a:schemeClr val="dk1"/>
              </a:solidFill>
              <a:latin typeface="+mn-lt"/>
              <a:ea typeface="+mn-ea"/>
              <a:cs typeface="+mn-cs"/>
            </a:rPr>
            <a:t> or any  other unusual items. </a:t>
          </a:r>
        </a:p>
        <a:p>
          <a:r>
            <a:rPr lang="en-US" sz="1100" baseline="0">
              <a:solidFill>
                <a:schemeClr val="dk1"/>
              </a:solidFill>
              <a:latin typeface="+mn-lt"/>
              <a:ea typeface="+mn-ea"/>
              <a:cs typeface="+mn-cs"/>
            </a:rPr>
            <a:t>Runway conditions are variable and must be confirmed to be adequate on the day of the flight - Some flights MAY not be possible due to poor conditions.</a:t>
          </a:r>
        </a:p>
        <a:p>
          <a:endParaRPr lang="en-US" sz="300" baseline="0">
            <a:solidFill>
              <a:schemeClr val="dk1"/>
            </a:solidFill>
            <a:latin typeface="+mn-lt"/>
            <a:ea typeface="+mn-ea"/>
            <a:cs typeface="+mn-cs"/>
          </a:endParaRPr>
        </a:p>
        <a:p>
          <a:r>
            <a:rPr lang="en-US" sz="1100" baseline="0">
              <a:solidFill>
                <a:schemeClr val="dk1"/>
              </a:solidFill>
              <a:latin typeface="+mn-lt"/>
              <a:ea typeface="+mn-ea"/>
              <a:cs typeface="+mn-cs"/>
            </a:rPr>
            <a:t>TNA is authorized to carry </a:t>
          </a:r>
          <a:r>
            <a:rPr lang="en-US" sz="1100" b="1" baseline="0">
              <a:solidFill>
                <a:schemeClr val="dk1"/>
              </a:solidFill>
              <a:latin typeface="+mn-lt"/>
              <a:ea typeface="+mn-ea"/>
              <a:cs typeface="+mn-cs"/>
            </a:rPr>
            <a:t>Hazardous Materials </a:t>
          </a:r>
          <a:r>
            <a:rPr lang="en-US" sz="1100" baseline="0">
              <a:solidFill>
                <a:schemeClr val="dk1"/>
              </a:solidFill>
              <a:latin typeface="+mn-lt"/>
              <a:ea typeface="+mn-ea"/>
              <a:cs typeface="+mn-cs"/>
            </a:rPr>
            <a:t>HOWEVER it is the customer's responsibility to  certify that  items are authorized for shipment by air and prepare all required shipping papers.  Contact TNA for more information on Hazmat Shipments.</a:t>
          </a:r>
          <a:endParaRPr lang="en-US" sz="1100">
            <a:solidFill>
              <a:schemeClr val="dk1"/>
            </a:solidFill>
            <a:latin typeface="+mn-lt"/>
            <a:ea typeface="+mn-ea"/>
            <a:cs typeface="+mn-cs"/>
          </a:endParaRPr>
        </a:p>
      </xdr:txBody>
    </xdr:sp>
    <xdr:clientData/>
  </xdr:twoCellAnchor>
  <xdr:twoCellAnchor>
    <xdr:from>
      <xdr:col>2</xdr:col>
      <xdr:colOff>951780</xdr:colOff>
      <xdr:row>2</xdr:row>
      <xdr:rowOff>171691</xdr:rowOff>
    </xdr:from>
    <xdr:to>
      <xdr:col>6</xdr:col>
      <xdr:colOff>637455</xdr:colOff>
      <xdr:row>8</xdr:row>
      <xdr:rowOff>61473</xdr:rowOff>
    </xdr:to>
    <xdr:pic>
      <xdr:nvPicPr>
        <xdr:cNvPr id="16" name="Picture 1" descr="cid:D91DF286-A789-4BEE-8CE4-1F894C34E5DF@no-dns-available.example.com">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839" y="631132"/>
          <a:ext cx="2767292" cy="143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138112</xdr:colOff>
      <xdr:row>1</xdr:row>
      <xdr:rowOff>41275</xdr:rowOff>
    </xdr:from>
    <xdr:to>
      <xdr:col>11</xdr:col>
      <xdr:colOff>600075</xdr:colOff>
      <xdr:row>4</xdr:row>
      <xdr:rowOff>146050</xdr:rowOff>
    </xdr:to>
    <xdr:sp macro="" textlink="">
      <xdr:nvSpPr>
        <xdr:cNvPr id="2" name="Horizontal Scroll 1">
          <a:extLst>
            <a:ext uri="{FF2B5EF4-FFF2-40B4-BE49-F238E27FC236}">
              <a16:creationId xmlns:a16="http://schemas.microsoft.com/office/drawing/2014/main" id="{00000000-0008-0000-0100-000002000000}"/>
            </a:ext>
          </a:extLst>
        </xdr:cNvPr>
        <xdr:cNvSpPr/>
      </xdr:nvSpPr>
      <xdr:spPr>
        <a:xfrm>
          <a:off x="2500312" y="295275"/>
          <a:ext cx="7421563" cy="866775"/>
        </a:xfrm>
        <a:prstGeom prst="horizontalScroll">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4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TransNorthern</a:t>
          </a:r>
          <a:r>
            <a:rPr lang="en-US" sz="4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Aviation</a:t>
          </a:r>
          <a:endParaRPr lang="en-US" sz="4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9</xdr:col>
      <xdr:colOff>1085850</xdr:colOff>
      <xdr:row>4</xdr:row>
      <xdr:rowOff>123825</xdr:rowOff>
    </xdr:from>
    <xdr:to>
      <xdr:col>9</xdr:col>
      <xdr:colOff>2486025</xdr:colOff>
      <xdr:row>8</xdr:row>
      <xdr:rowOff>219075</xdr:rowOff>
    </xdr:to>
    <xdr:pic>
      <xdr:nvPicPr>
        <xdr:cNvPr id="1627" name="Picture 1" descr="logo_color_jpg">
          <a:extLst>
            <a:ext uri="{FF2B5EF4-FFF2-40B4-BE49-F238E27FC236}">
              <a16:creationId xmlns:a16="http://schemas.microsoft.com/office/drawing/2014/main" id="{00000000-0008-0000-01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114425"/>
          <a:ext cx="14001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239059</xdr:colOff>
      <xdr:row>27</xdr:row>
      <xdr:rowOff>44824</xdr:rowOff>
    </xdr:from>
    <xdr:to>
      <xdr:col>11</xdr:col>
      <xdr:colOff>165100</xdr:colOff>
      <xdr:row>43</xdr:row>
      <xdr:rowOff>203200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31159" y="7652124"/>
          <a:ext cx="8955741" cy="4222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latin typeface="Calibri" panose="020F0502020204030204" pitchFamily="34" charset="0"/>
            </a:rPr>
            <a:t>Instructions:  </a:t>
          </a:r>
        </a:p>
        <a:p>
          <a:endParaRPr lang="en-US" sz="1100"/>
        </a:p>
        <a:p>
          <a:r>
            <a:rPr lang="en-US" sz="1100"/>
            <a:t>Select the airport from the Pull Down Menu.  IF the </a:t>
          </a:r>
          <a:r>
            <a:rPr lang="en-US" sz="1100" i="1" u="sng"/>
            <a:t>Verified?</a:t>
          </a:r>
          <a:r>
            <a:rPr lang="en-US" sz="1100"/>
            <a:t> box says NO </a:t>
          </a:r>
          <a:r>
            <a:rPr lang="en-US" sz="1100" u="sng"/>
            <a:t>you must be sure the data is all correct</a:t>
          </a:r>
          <a:r>
            <a:rPr lang="en-US" sz="1100" u="sng" baseline="0"/>
            <a:t> b</a:t>
          </a:r>
          <a:r>
            <a:rPr lang="en-US" sz="1100" u="sng"/>
            <a:t>efore quoting.</a:t>
          </a:r>
          <a:r>
            <a:rPr lang="en-US" sz="1100" u="sng" baseline="0"/>
            <a:t>  </a:t>
          </a:r>
          <a:r>
            <a:rPr lang="en-US" sz="1100" baseline="0"/>
            <a:t>After you have verified all the information for each aircraft and the COMMENTS send Alan an email and he'll change the master copy and email out new release versions.  The more information you email specific to each airport the better the program will work.  Phone contacts, fuel locations/prices, etc. are great to have. and make us look smarter!  </a:t>
          </a:r>
        </a:p>
        <a:p>
          <a:r>
            <a:rPr lang="en-US" sz="1800" b="1" baseline="0">
              <a:solidFill>
                <a:schemeClr val="dk1"/>
              </a:solidFill>
              <a:latin typeface="+mn-lt"/>
              <a:ea typeface="+mn-ea"/>
              <a:cs typeface="+mn-cs"/>
              <a:sym typeface="Wingdings 3"/>
            </a:rPr>
            <a:t> </a:t>
          </a:r>
          <a:r>
            <a:rPr lang="en-US" sz="1100" baseline="0"/>
            <a:t>NEXT GO TO </a:t>
          </a:r>
          <a:r>
            <a:rPr lang="en-US" sz="1100" baseline="0">
              <a:solidFill>
                <a:schemeClr val="dk1"/>
              </a:solidFill>
              <a:latin typeface="+mn-lt"/>
              <a:ea typeface="+mn-ea"/>
              <a:cs typeface="+mn-cs"/>
              <a:sym typeface="Wingdings 3"/>
            </a:rPr>
            <a:t> </a:t>
          </a:r>
          <a:r>
            <a:rPr lang="en-US" sz="1100" baseline="0"/>
            <a:t>THE CUSTOMER QUOTE PAGE   YOU WILL SEE THAT WE'VE Done some ROUNDING for the prices to make it look better for the customer.   IF you want to get Exact Tax Brakedown take the Total Quote and Enter in on the TAX CALCULATOR page.</a:t>
          </a:r>
        </a:p>
        <a:p>
          <a:endParaRPr lang="en-US" sz="1100" baseline="0"/>
        </a:p>
        <a:p>
          <a:r>
            <a:rPr lang="en-US" sz="1100" baseline="0"/>
            <a:t> The prices quoted DO include average landing fees at ANC but not at the destination if applicable.  For Kodiak, Kenai, and Fairbanks go to the AIRCRAFT VARIABLES Page and find out the standard langing fee for each aircraft and ADD  it to the NOTES section of the Customer Page.  The APROX Payload box shows Payload from ANC with Round Trip Fuel.  IF fuel is available at the destination you can use the RETURN Payload value for each way (Upto 7,500#s) and add a Fuel Charge in the NOTES.</a:t>
          </a:r>
        </a:p>
        <a:p>
          <a:r>
            <a:rPr lang="en-US" sz="1100" baseline="0"/>
            <a:t> This sheet is protected so don't try to change anything here.  </a:t>
          </a:r>
        </a:p>
        <a:p>
          <a:endParaRPr lang="en-US" sz="1100" baseline="0"/>
        </a:p>
        <a:p>
          <a:r>
            <a:rPr lang="en-US" sz="1100" baseline="0"/>
            <a:t>If you want to provide written quotes to a passenger to to the CUSTOMER QUOTE PAGE.  </a:t>
          </a:r>
          <a:r>
            <a:rPr lang="en-US" sz="1100" u="sng" baseline="0"/>
            <a:t>You will have to fillin the NOTES SECTION on the Customer Sheet  specific to the charter you are quoting.</a:t>
          </a:r>
          <a:r>
            <a:rPr lang="en-US" sz="1100" baseline="0"/>
            <a:t>  On the Customer page if you don't want to quote a specific aircraft just select it's name and information and set the FONT to WHITE.    I'd recommend deleting the NOTES and Selecting All Aircraft Data FONT back to BLACK after printing/coping each quote.  </a:t>
          </a:r>
        </a:p>
        <a:p>
          <a:endParaRPr lang="en-US" sz="1100" baseline="0"/>
        </a:p>
        <a:p>
          <a:r>
            <a:rPr lang="en-US" sz="1100" baseline="0"/>
            <a:t>All of the worksheets EXCEPT the CUSTOMER QUOTE PAGE are protected to prevent accidental changes.  IF some information is wrong on your copy the VERY BEST THING TO DO is email the change to Alan so all the copies can be correct.  IF you have to change something the password is set to a blank (just hit enter key). but you will loose any change you made on the next revision.  </a:t>
          </a:r>
          <a:endParaRPr lang="en-US" sz="1100"/>
        </a:p>
      </xdr:txBody>
    </xdr:sp>
    <xdr:clientData/>
  </xdr:twoCellAnchor>
  <xdr:twoCellAnchor>
    <xdr:from>
      <xdr:col>12</xdr:col>
      <xdr:colOff>215900</xdr:colOff>
      <xdr:row>21</xdr:row>
      <xdr:rowOff>114300</xdr:rowOff>
    </xdr:from>
    <xdr:to>
      <xdr:col>12</xdr:col>
      <xdr:colOff>4076700</xdr:colOff>
      <xdr:row>25</xdr:row>
      <xdr:rowOff>165100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90200" y="5791200"/>
          <a:ext cx="3860800" cy="1079500"/>
        </a:xfrm>
        <a:prstGeom prst="rect">
          <a:avLst/>
        </a:prstGeom>
        <a:solidFill>
          <a:srgbClr val="00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mn-lt"/>
            </a:rPr>
            <a:t>NOTE</a:t>
          </a:r>
          <a:r>
            <a:rPr lang="en-US" sz="1600" b="1" baseline="0">
              <a:latin typeface="+mn-lt"/>
            </a:rPr>
            <a:t> Charter Cost, TAX amnt, PILOT PAY and TOTAL COST on Calendar when Scheduling a flight....</a:t>
          </a:r>
          <a:endParaRPr lang="en-US" sz="1600" b="1">
            <a:latin typeface="+mn-lt"/>
          </a:endParaRPr>
        </a:p>
      </xdr:txBody>
    </xdr:sp>
    <xdr:clientData/>
  </xdr:twoCellAnchor>
  <xdr:twoCellAnchor>
    <xdr:from>
      <xdr:col>12</xdr:col>
      <xdr:colOff>165100</xdr:colOff>
      <xdr:row>18</xdr:row>
      <xdr:rowOff>0</xdr:rowOff>
    </xdr:from>
    <xdr:to>
      <xdr:col>12</xdr:col>
      <xdr:colOff>4546600</xdr:colOff>
      <xdr:row>20</xdr:row>
      <xdr:rowOff>165100</xdr:rowOff>
    </xdr:to>
    <xdr:sp macro="" textlink="">
      <xdr:nvSpPr>
        <xdr:cNvPr id="3" name="TextBox 2">
          <a:extLst>
            <a:ext uri="{FF2B5EF4-FFF2-40B4-BE49-F238E27FC236}">
              <a16:creationId xmlns:a16="http://schemas.microsoft.com/office/drawing/2014/main" id="{3795B51B-03F0-460C-8D8D-EC652E58E89B}"/>
            </a:ext>
          </a:extLst>
        </xdr:cNvPr>
        <xdr:cNvSpPr txBox="1"/>
      </xdr:nvSpPr>
      <xdr:spPr>
        <a:xfrm>
          <a:off x="10439400" y="4914900"/>
          <a:ext cx="438150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Change the comments that</a:t>
          </a:r>
          <a:r>
            <a:rPr lang="en-US" sz="1100" b="1" i="1" baseline="0"/>
            <a:t> appear here (</a:t>
          </a:r>
          <a:r>
            <a:rPr lang="en-US" sz="1600" b="1" i="1" baseline="0"/>
            <a:t>↑</a:t>
          </a:r>
          <a:r>
            <a:rPr lang="en-US" sz="1100" b="1" i="1" baseline="0"/>
            <a:t>)  in the AIRPORTS Tab to relfect anything important to know about the airport for folks quoting charters to that airport</a:t>
          </a:r>
          <a:endParaRPr lang="en-US" sz="1100" b="1" i="1"/>
        </a:p>
      </xdr:txBody>
    </xdr:sp>
    <xdr:clientData/>
  </xdr:twoCellAnchor>
  <xdr:twoCellAnchor>
    <xdr:from>
      <xdr:col>9</xdr:col>
      <xdr:colOff>1085850</xdr:colOff>
      <xdr:row>4</xdr:row>
      <xdr:rowOff>123825</xdr:rowOff>
    </xdr:from>
    <xdr:to>
      <xdr:col>9</xdr:col>
      <xdr:colOff>2486025</xdr:colOff>
      <xdr:row>8</xdr:row>
      <xdr:rowOff>219075</xdr:rowOff>
    </xdr:to>
    <xdr:pic>
      <xdr:nvPicPr>
        <xdr:cNvPr id="8" name="Picture 1" descr="logo_color_jpg">
          <a:extLst>
            <a:ext uri="{FF2B5EF4-FFF2-40B4-BE49-F238E27FC236}">
              <a16:creationId xmlns:a16="http://schemas.microsoft.com/office/drawing/2014/main" id="{8B50397A-581D-4679-9BD3-DFAC79251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1114425"/>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523875</xdr:colOff>
      <xdr:row>2</xdr:row>
      <xdr:rowOff>19050</xdr:rowOff>
    </xdr:from>
    <xdr:to>
      <xdr:col>8</xdr:col>
      <xdr:colOff>714375</xdr:colOff>
      <xdr:row>2</xdr:row>
      <xdr:rowOff>161925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5076825" y="209550"/>
          <a:ext cx="190500" cy="1428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114301</xdr:colOff>
      <xdr:row>2</xdr:row>
      <xdr:rowOff>19049</xdr:rowOff>
    </xdr:from>
    <xdr:to>
      <xdr:col>7</xdr:col>
      <xdr:colOff>276226</xdr:colOff>
      <xdr:row>2</xdr:row>
      <xdr:rowOff>161924</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rot="10800000" flipV="1">
          <a:off x="4076701" y="209549"/>
          <a:ext cx="161925" cy="1428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914400</xdr:colOff>
      <xdr:row>17</xdr:row>
      <xdr:rowOff>158751</xdr:rowOff>
    </xdr:from>
    <xdr:to>
      <xdr:col>10</xdr:col>
      <xdr:colOff>63500</xdr:colOff>
      <xdr:row>19</xdr:row>
      <xdr:rowOff>95250</xdr:rowOff>
    </xdr:to>
    <xdr:cxnSp macro="">
      <xdr:nvCxnSpPr>
        <xdr:cNvPr id="5" name="Straight Arrow Connector 4">
          <a:extLst>
            <a:ext uri="{FF2B5EF4-FFF2-40B4-BE49-F238E27FC236}">
              <a16:creationId xmlns:a16="http://schemas.microsoft.com/office/drawing/2014/main" id="{366898CE-F455-41EB-974C-F66A26A33684}"/>
            </a:ext>
          </a:extLst>
        </xdr:cNvPr>
        <xdr:cNvCxnSpPr/>
      </xdr:nvCxnSpPr>
      <xdr:spPr>
        <a:xfrm flipV="1">
          <a:off x="3686175" y="3368676"/>
          <a:ext cx="1987550" cy="412749"/>
        </a:xfrm>
        <a:prstGeom prst="straightConnector1">
          <a:avLst/>
        </a:prstGeom>
        <a:ln w="254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353785</xdr:colOff>
      <xdr:row>3</xdr:row>
      <xdr:rowOff>149678</xdr:rowOff>
    </xdr:from>
    <xdr:to>
      <xdr:col>7</xdr:col>
      <xdr:colOff>830036</xdr:colOff>
      <xdr:row>4</xdr:row>
      <xdr:rowOff>285749</xdr:rowOff>
    </xdr:to>
    <xdr:sp macro="" textlink="">
      <xdr:nvSpPr>
        <xdr:cNvPr id="2" name="Arrow: Right 1">
          <a:extLst>
            <a:ext uri="{FF2B5EF4-FFF2-40B4-BE49-F238E27FC236}">
              <a16:creationId xmlns:a16="http://schemas.microsoft.com/office/drawing/2014/main" id="{CCA288D0-C8EC-612B-2052-6A3828C6C00C}"/>
            </a:ext>
          </a:extLst>
        </xdr:cNvPr>
        <xdr:cNvSpPr/>
      </xdr:nvSpPr>
      <xdr:spPr>
        <a:xfrm>
          <a:off x="2503714" y="789214"/>
          <a:ext cx="6436179" cy="34017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80010</xdr:colOff>
      <xdr:row>21</xdr:row>
      <xdr:rowOff>30480</xdr:rowOff>
    </xdr:from>
    <xdr:to>
      <xdr:col>14</xdr:col>
      <xdr:colOff>201930</xdr:colOff>
      <xdr:row>25</xdr:row>
      <xdr:rowOff>152400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99210" y="4030980"/>
          <a:ext cx="74371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Program revised on Spring 2014 to</a:t>
          </a:r>
          <a:r>
            <a:rPr lang="en-US" sz="1100" baseline="0"/>
            <a:t> reflect new methodoloy for Not paying Tax on Fuel</a:t>
          </a:r>
        </a:p>
        <a:p>
          <a:r>
            <a:rPr lang="en-US" sz="1100" baseline="0"/>
            <a:t>We are utilizing average fuel burn rates * current fuel prices to calculate fuel cost.</a:t>
          </a:r>
        </a:p>
        <a:p>
          <a:r>
            <a:rPr lang="en-US" sz="1100" baseline="0"/>
            <a:t>All variables are set on the Aircraft Variables Page.  </a:t>
          </a:r>
        </a:p>
        <a:p>
          <a:r>
            <a:rPr lang="en-US" sz="1100" baseline="0"/>
            <a:t>Payloads are calculated by using average cruise fuel burn plus Takeoff fuel burn</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GridLines="0" tabSelected="1" zoomScale="85" zoomScaleNormal="85" workbookViewId="0">
      <selection activeCell="K7" sqref="K7:N9"/>
    </sheetView>
  </sheetViews>
  <sheetFormatPr defaultColWidth="9.140625" defaultRowHeight="19.5" x14ac:dyDescent="0.4"/>
  <cols>
    <col min="1" max="1" width="1.85546875" style="33" customWidth="1"/>
    <col min="2" max="2" width="5.5703125" style="33" customWidth="1"/>
    <col min="3" max="3" width="18.42578125" style="33" customWidth="1"/>
    <col min="4" max="6" width="9.28515625" style="33" customWidth="1"/>
    <col min="7" max="7" width="10.5703125" style="33" customWidth="1"/>
    <col min="8" max="8" width="10.42578125" style="33" customWidth="1"/>
    <col min="9" max="10" width="14.7109375" style="33" customWidth="1"/>
    <col min="11" max="11" width="15.42578125" style="33" customWidth="1"/>
    <col min="12" max="12" width="21.85546875" style="33" customWidth="1"/>
    <col min="13" max="13" width="13.85546875" style="33" customWidth="1"/>
    <col min="14" max="14" width="3.7109375" style="33" customWidth="1"/>
    <col min="15" max="15" width="3.5703125" style="33" customWidth="1"/>
    <col min="16" max="16" width="16.140625" style="33" bestFit="1" customWidth="1"/>
    <col min="17" max="16384" width="9.140625" style="33"/>
  </cols>
  <sheetData>
    <row r="1" spans="1:21" ht="8.25" customHeight="1" x14ac:dyDescent="0.4"/>
    <row r="2" spans="1:21" ht="28.5" customHeight="1" x14ac:dyDescent="0.4">
      <c r="A2" s="33" t="s">
        <v>988</v>
      </c>
      <c r="B2" s="33" t="s">
        <v>988</v>
      </c>
    </row>
    <row r="3" spans="1:21" x14ac:dyDescent="0.4">
      <c r="Q3" s="373" t="s">
        <v>1110</v>
      </c>
      <c r="R3" s="374"/>
      <c r="S3" s="374"/>
      <c r="T3" s="374"/>
      <c r="U3" s="374"/>
    </row>
    <row r="4" spans="1:21" x14ac:dyDescent="0.4">
      <c r="L4" s="145" t="s">
        <v>801</v>
      </c>
      <c r="Q4" s="385" t="s">
        <v>1111</v>
      </c>
      <c r="R4" s="376"/>
      <c r="S4" s="376"/>
      <c r="T4" s="376"/>
      <c r="U4" s="377"/>
    </row>
    <row r="5" spans="1:21" ht="24" customHeight="1" x14ac:dyDescent="0.4">
      <c r="L5" s="146">
        <f ca="1">TODAY()</f>
        <v>45559</v>
      </c>
      <c r="Q5" s="381"/>
      <c r="R5" s="382"/>
      <c r="S5" s="382"/>
      <c r="T5" s="382"/>
      <c r="U5" s="383"/>
    </row>
    <row r="6" spans="1:21" x14ac:dyDescent="0.4">
      <c r="Q6" s="375" t="s">
        <v>1112</v>
      </c>
      <c r="R6" s="376"/>
      <c r="S6" s="376"/>
      <c r="T6" s="376"/>
      <c r="U6" s="377"/>
    </row>
    <row r="7" spans="1:21" ht="19.5" customHeight="1" x14ac:dyDescent="0.4">
      <c r="H7" s="147"/>
      <c r="I7"/>
      <c r="J7"/>
      <c r="K7" s="388" t="s">
        <v>1057</v>
      </c>
      <c r="L7" s="388"/>
      <c r="M7" s="388"/>
      <c r="N7" s="388"/>
      <c r="Q7" s="378"/>
      <c r="R7" s="379"/>
      <c r="S7" s="379"/>
      <c r="T7" s="379"/>
      <c r="U7" s="380"/>
    </row>
    <row r="8" spans="1:21" ht="20.25" customHeight="1" thickBot="1" x14ac:dyDescent="0.45">
      <c r="H8" s="148"/>
      <c r="I8"/>
      <c r="J8"/>
      <c r="K8" s="388"/>
      <c r="L8" s="388"/>
      <c r="M8" s="388"/>
      <c r="N8" s="388"/>
      <c r="Q8" s="378"/>
      <c r="R8" s="379"/>
      <c r="S8" s="379"/>
      <c r="T8" s="379"/>
      <c r="U8" s="380"/>
    </row>
    <row r="9" spans="1:21" ht="21" thickTop="1" thickBot="1" x14ac:dyDescent="0.45">
      <c r="C9" s="372" t="s">
        <v>1058</v>
      </c>
      <c r="D9" s="372"/>
      <c r="E9" s="372"/>
      <c r="F9" s="372"/>
      <c r="G9" s="372"/>
      <c r="H9" s="372"/>
      <c r="I9" s="386" t="str">
        <f>'Lookup Calculator'!B7</f>
        <v>Kodiak</v>
      </c>
      <c r="J9" s="387"/>
      <c r="K9" s="388"/>
      <c r="L9" s="388"/>
      <c r="M9" s="388"/>
      <c r="N9" s="388"/>
      <c r="Q9" s="378"/>
      <c r="R9" s="379"/>
      <c r="S9" s="379"/>
      <c r="T9" s="379"/>
      <c r="U9" s="380"/>
    </row>
    <row r="10" spans="1:21" ht="21" thickTop="1" thickBot="1" x14ac:dyDescent="0.45">
      <c r="I10" s="41"/>
      <c r="K10" s="191" t="s">
        <v>932</v>
      </c>
      <c r="L10" s="191"/>
      <c r="M10" s="187"/>
      <c r="N10" s="187"/>
      <c r="Q10" s="378"/>
      <c r="R10" s="379"/>
      <c r="S10" s="379"/>
      <c r="T10" s="379"/>
      <c r="U10" s="380"/>
    </row>
    <row r="11" spans="1:21" ht="51" customHeight="1" thickTop="1" thickBot="1" x14ac:dyDescent="0.45">
      <c r="C11" s="188" t="s">
        <v>799</v>
      </c>
      <c r="D11" s="188" t="s">
        <v>1094</v>
      </c>
      <c r="E11" s="188" t="s">
        <v>997</v>
      </c>
      <c r="F11" s="240" t="s">
        <v>1128</v>
      </c>
      <c r="G11" s="240" t="s">
        <v>1127</v>
      </c>
      <c r="H11" s="188" t="s">
        <v>948</v>
      </c>
      <c r="I11" s="299" t="s">
        <v>1104</v>
      </c>
      <c r="J11" s="302" t="s">
        <v>1105</v>
      </c>
      <c r="K11" s="389" t="s">
        <v>1109</v>
      </c>
      <c r="L11" s="390"/>
      <c r="M11" s="390"/>
      <c r="N11" s="390"/>
      <c r="Q11" s="381"/>
      <c r="R11" s="382"/>
      <c r="S11" s="382"/>
      <c r="T11" s="382"/>
      <c r="U11" s="383"/>
    </row>
    <row r="12" spans="1:21" ht="20.25" customHeight="1" thickTop="1" x14ac:dyDescent="0.4">
      <c r="C12" s="243" t="s">
        <v>1095</v>
      </c>
      <c r="D12" s="244">
        <v>9</v>
      </c>
      <c r="E12" s="245">
        <f>'Lookup Calculator'!E14</f>
        <v>1.4520833333333334</v>
      </c>
      <c r="F12" s="246">
        <f>IF((FLOOR(Q28,10)&lt;1),0,(FLOOR(Q28,10)))</f>
        <v>1320</v>
      </c>
      <c r="G12" s="246">
        <f>IF((FLOOR(R28,10)&lt;1),0,(FLOOR(R28,10)))</f>
        <v>940</v>
      </c>
      <c r="H12" s="247">
        <f>MROUND('Lookup Calculator'!E10,5)</f>
        <v>3500</v>
      </c>
      <c r="I12" s="300">
        <f>MROUND('Lookup Calculator'!E19,5)</f>
        <v>3720</v>
      </c>
      <c r="J12" s="303">
        <f>MROUND('Lookup Calculator'!E21,5)</f>
        <v>3765</v>
      </c>
      <c r="K12" s="391"/>
      <c r="L12" s="392"/>
      <c r="M12" s="392"/>
      <c r="N12" s="392"/>
      <c r="Q12" s="384" t="s">
        <v>1113</v>
      </c>
      <c r="R12" s="376"/>
      <c r="S12" s="376"/>
      <c r="T12" s="376"/>
      <c r="U12" s="377"/>
    </row>
    <row r="13" spans="1:21" ht="20.25" customHeight="1" x14ac:dyDescent="0.4">
      <c r="C13" s="248" t="s">
        <v>1</v>
      </c>
      <c r="D13" s="190">
        <v>9</v>
      </c>
      <c r="E13" s="189">
        <f>'Lookup Calculator'!F14</f>
        <v>1.3680952380952383</v>
      </c>
      <c r="F13" s="205">
        <f>IF((FLOOR(Q23,10)&lt;1),0,(FLOOR(Q23,10)))</f>
        <v>2650</v>
      </c>
      <c r="G13" s="205">
        <f>IF((FLOOR(R23,10)&lt;1),0,(FLOOR(R23,10)))</f>
        <v>1860</v>
      </c>
      <c r="H13" s="249">
        <f>MROUND('Lookup Calculator'!F10,5)</f>
        <v>4325</v>
      </c>
      <c r="I13" s="300">
        <f>MROUND('Lookup Calculator'!F19,5)</f>
        <v>4595</v>
      </c>
      <c r="J13" s="303">
        <f>MROUND('Lookup Calculator'!F21,5)</f>
        <v>4650</v>
      </c>
      <c r="K13" s="391"/>
      <c r="L13" s="392"/>
      <c r="M13" s="392"/>
      <c r="N13" s="392"/>
      <c r="Q13" s="378"/>
      <c r="R13" s="379"/>
      <c r="S13" s="379"/>
      <c r="T13" s="379"/>
      <c r="U13" s="380"/>
    </row>
    <row r="14" spans="1:21" x14ac:dyDescent="0.4">
      <c r="C14" s="248" t="s">
        <v>885</v>
      </c>
      <c r="D14" s="190">
        <v>1</v>
      </c>
      <c r="E14" s="189">
        <f>'Lookup Calculator'!G14</f>
        <v>1.2692982456140351</v>
      </c>
      <c r="F14" s="205">
        <f>IF((FLOOR(Q27,10)&lt;1),0,(FLOOR(Q27,10)))</f>
        <v>3240</v>
      </c>
      <c r="G14" s="205">
        <f>IF((FLOOR(R27,10)&lt;1),0,(FLOOR(R27,10)))</f>
        <v>2480</v>
      </c>
      <c r="H14" s="249">
        <f>MROUND('Lookup Calculator'!G10,5)</f>
        <v>4475</v>
      </c>
      <c r="I14" s="300">
        <f>MROUND('Lookup Calculator'!G19,5)</f>
        <v>4755</v>
      </c>
      <c r="J14" s="303" t="s">
        <v>1028</v>
      </c>
      <c r="K14" s="391"/>
      <c r="L14" s="392"/>
      <c r="M14" s="392"/>
      <c r="N14" s="392"/>
      <c r="Q14" s="378"/>
      <c r="R14" s="379"/>
      <c r="S14" s="379"/>
      <c r="T14" s="379"/>
      <c r="U14" s="380"/>
    </row>
    <row r="15" spans="1:21" x14ac:dyDescent="0.4">
      <c r="C15" s="248" t="s">
        <v>1093</v>
      </c>
      <c r="D15" s="190">
        <v>9</v>
      </c>
      <c r="E15" s="189">
        <f>'Lookup Calculator'!H14</f>
        <v>1.1021821928886339</v>
      </c>
      <c r="F15" s="205">
        <f>IF((FLOOR(Q24,10)&lt;1),0,(FLOOR(Q24,10)))</f>
        <v>3090</v>
      </c>
      <c r="G15" s="205">
        <f>IF((FLOOR(R24,10)&lt;1),0,(FLOOR(R24,10)))</f>
        <v>2180</v>
      </c>
      <c r="H15" s="249">
        <f>MROUND('Lookup Calculator'!H10,5)</f>
        <v>4440</v>
      </c>
      <c r="I15" s="300">
        <f>MROUND('Lookup Calculator'!H19,5)</f>
        <v>4720</v>
      </c>
      <c r="J15" s="303">
        <f>MROUND('Lookup Calculator'!H21,5)</f>
        <v>4775</v>
      </c>
      <c r="K15" s="391"/>
      <c r="L15" s="392"/>
      <c r="M15" s="392"/>
      <c r="N15" s="392"/>
      <c r="Q15" s="378"/>
      <c r="R15" s="379"/>
      <c r="S15" s="379"/>
      <c r="T15" s="379"/>
      <c r="U15" s="380"/>
    </row>
    <row r="16" spans="1:21" ht="19.5" customHeight="1" x14ac:dyDescent="0.4">
      <c r="C16" s="248" t="s">
        <v>800</v>
      </c>
      <c r="D16" s="190">
        <v>9</v>
      </c>
      <c r="E16" s="189">
        <f>'Lookup Calculator'!I14</f>
        <v>1.1021739130434782</v>
      </c>
      <c r="F16" s="205">
        <f>IF((FLOOR(Q25,10)&lt;1),0,(FLOOR(Q25,10)))</f>
        <v>3890</v>
      </c>
      <c r="G16" s="205">
        <f>IF((FLOOR(R25,10)&lt;1),0,(FLOOR(R25,10)))</f>
        <v>3080</v>
      </c>
      <c r="H16" s="249">
        <f>MROUND('Lookup Calculator'!I10,5)</f>
        <v>4445</v>
      </c>
      <c r="I16" s="300">
        <f>MROUND('Lookup Calculator'!I19,5)</f>
        <v>4725</v>
      </c>
      <c r="J16" s="303">
        <f>MROUND('Lookup Calculator'!I21,5)</f>
        <v>4780</v>
      </c>
      <c r="K16" s="393"/>
      <c r="L16" s="394"/>
      <c r="M16" s="394"/>
      <c r="N16" s="394"/>
      <c r="Q16" s="378"/>
      <c r="R16" s="379"/>
      <c r="S16" s="379"/>
      <c r="T16" s="379"/>
      <c r="U16" s="380"/>
    </row>
    <row r="17" spans="2:21" x14ac:dyDescent="0.4">
      <c r="C17" s="248" t="s">
        <v>1125</v>
      </c>
      <c r="D17" s="190">
        <v>17</v>
      </c>
      <c r="E17" s="189">
        <f>'Lookup Calculator'!I14</f>
        <v>1.1021739130434782</v>
      </c>
      <c r="F17" s="205">
        <f>IF((FLOOR(Q29,10)&lt;1),0,(FLOOR(Q29,10)))</f>
        <v>4920</v>
      </c>
      <c r="G17" s="205">
        <f>IF((FLOOR(R29,10)&lt;1),0,(FLOOR(R29,10)))</f>
        <v>4110</v>
      </c>
      <c r="H17" s="249">
        <f>MROUND('Lookup Calculator'!J10,5)</f>
        <v>5555</v>
      </c>
      <c r="I17" s="300">
        <f>MROUND('Lookup Calculator'!J19,5)</f>
        <v>5905</v>
      </c>
      <c r="J17" s="303">
        <f>MROUND('Lookup Calculator'!J21,5)</f>
        <v>5975</v>
      </c>
      <c r="K17" s="395"/>
      <c r="L17" s="379"/>
      <c r="M17" s="379"/>
      <c r="N17" s="379"/>
      <c r="Q17" s="378"/>
      <c r="R17" s="379"/>
      <c r="S17" s="379"/>
      <c r="T17" s="379"/>
      <c r="U17" s="380"/>
    </row>
    <row r="18" spans="2:21" x14ac:dyDescent="0.4">
      <c r="C18" s="248" t="s">
        <v>1134</v>
      </c>
      <c r="D18" s="190">
        <v>1</v>
      </c>
      <c r="E18" s="189">
        <f>'Lookup Calculator'!K14</f>
        <v>1.5795698924731181</v>
      </c>
      <c r="F18" s="205">
        <f>IF((FLOOR(Q30,10)&lt;1),0,(FLOOR(Q30,10)))</f>
        <v>5460</v>
      </c>
      <c r="G18" s="205">
        <f>IF((FLOOR(R30,10)&lt;1),0,(FLOOR(R30,10)))</f>
        <v>4070</v>
      </c>
      <c r="H18" s="249">
        <f>MROUND('Lookup Calculator'!K10,5)</f>
        <v>9185</v>
      </c>
      <c r="I18" s="300">
        <f>MROUND('Lookup Calculator'!K19,5)</f>
        <v>9760</v>
      </c>
      <c r="J18" s="303" t="s">
        <v>1028</v>
      </c>
      <c r="K18" s="395"/>
      <c r="L18" s="379"/>
      <c r="M18" s="379"/>
      <c r="N18" s="379"/>
      <c r="Q18" s="378"/>
      <c r="R18" s="379"/>
      <c r="S18" s="379"/>
      <c r="T18" s="379"/>
      <c r="U18" s="380"/>
    </row>
    <row r="19" spans="2:21" ht="20.25" thickBot="1" x14ac:dyDescent="0.45">
      <c r="C19" s="335" t="s">
        <v>3</v>
      </c>
      <c r="D19" s="336">
        <v>19</v>
      </c>
      <c r="E19" s="337">
        <f>'Lookup Calculator'!L14</f>
        <v>1.5687500000000001</v>
      </c>
      <c r="F19" s="338">
        <f>IF((FLOOR(Q26,10)&lt;1),0,(FLOOR(Q26,10)))</f>
        <v>7640</v>
      </c>
      <c r="G19" s="338">
        <f>IF((FLOOR(R26,10)&lt;1),0,(FLOOR(R26,10)))</f>
        <v>6330</v>
      </c>
      <c r="H19" s="339">
        <f>MROUND('Lookup Calculator'!L10,5)</f>
        <v>8645</v>
      </c>
      <c r="I19" s="301">
        <f>MROUND('Lookup Calculator'!L19,5)</f>
        <v>9185</v>
      </c>
      <c r="J19" s="304">
        <f>MROUND('Lookup Calculator'!L21,5)</f>
        <v>9295</v>
      </c>
      <c r="K19" s="396"/>
      <c r="L19" s="397"/>
      <c r="M19" s="397"/>
      <c r="N19" s="397"/>
      <c r="Q19" s="378"/>
      <c r="R19" s="379"/>
      <c r="S19" s="379"/>
      <c r="T19" s="379"/>
      <c r="U19" s="380"/>
    </row>
    <row r="20" spans="2:21" ht="20.25" thickTop="1" x14ac:dyDescent="0.4">
      <c r="O20" s="33" t="s">
        <v>888</v>
      </c>
      <c r="Q20" s="381"/>
      <c r="R20" s="382"/>
      <c r="S20" s="382"/>
      <c r="T20" s="382"/>
      <c r="U20" s="383"/>
    </row>
    <row r="22" spans="2:21" ht="18.75" customHeight="1" x14ac:dyDescent="0.4">
      <c r="Q22" s="253" t="s">
        <v>1106</v>
      </c>
      <c r="R22" s="254" t="s">
        <v>1107</v>
      </c>
      <c r="S22" s="255" t="s">
        <v>919</v>
      </c>
      <c r="T22" s="256"/>
      <c r="U22" s="257"/>
    </row>
    <row r="23" spans="2:21" ht="18.75" customHeight="1" x14ac:dyDescent="0.4">
      <c r="Q23" s="250">
        <f>'Lookup Calculator'!F13</f>
        <v>2658.7523809523809</v>
      </c>
      <c r="R23" s="251">
        <f>'Lookup Calculator'!F12</f>
        <v>1867.5047619047614</v>
      </c>
      <c r="S23" s="252" t="s">
        <v>979</v>
      </c>
    </row>
    <row r="24" spans="2:21" ht="18.75" customHeight="1" x14ac:dyDescent="0.4">
      <c r="Q24" s="131">
        <f>'Lookup Calculator'!H13</f>
        <v>3094.4724649779564</v>
      </c>
      <c r="R24" s="241">
        <f>'Lookup Calculator'!H12</f>
        <v>2188.9449299559124</v>
      </c>
      <c r="S24" s="242" t="s">
        <v>1102</v>
      </c>
    </row>
    <row r="25" spans="2:21" ht="29.25" customHeight="1" x14ac:dyDescent="0.4">
      <c r="Q25" s="131">
        <f>'Lookup Calculator'!I13</f>
        <v>3893.2391304347825</v>
      </c>
      <c r="R25" s="241">
        <f>'Lookup Calculator'!I12</f>
        <v>3086.478260869565</v>
      </c>
      <c r="S25" s="242" t="s">
        <v>1022</v>
      </c>
      <c r="T25" s="33" t="s">
        <v>1116</v>
      </c>
    </row>
    <row r="26" spans="2:21" ht="26.25" customHeight="1" x14ac:dyDescent="0.4">
      <c r="Q26" s="131">
        <f>'Lookup Calculator'!L13</f>
        <v>7644.625</v>
      </c>
      <c r="R26" s="241">
        <f>'Lookup Calculator'!L12</f>
        <v>6339.25</v>
      </c>
      <c r="S26" s="242" t="s">
        <v>944</v>
      </c>
    </row>
    <row r="27" spans="2:21" ht="17.25" customHeight="1" x14ac:dyDescent="0.4">
      <c r="Q27" s="131">
        <f>'Lookup Calculator'!G13</f>
        <v>3244.7508771929824</v>
      </c>
      <c r="R27" s="241">
        <f>'Lookup Calculator'!G12</f>
        <v>2489.5017543859649</v>
      </c>
      <c r="S27" s="242" t="s">
        <v>1103</v>
      </c>
    </row>
    <row r="28" spans="2:21" ht="16.5" customHeight="1" x14ac:dyDescent="0.4">
      <c r="Q28" s="131">
        <f>'Lookup Calculator'!E13</f>
        <v>1320.5</v>
      </c>
      <c r="R28" s="241">
        <f>'Lookup Calculator'!E12</f>
        <v>941</v>
      </c>
      <c r="S28" s="242" t="s">
        <v>1095</v>
      </c>
    </row>
    <row r="29" spans="2:21" ht="21.75" customHeight="1" x14ac:dyDescent="0.4">
      <c r="C29" s="186"/>
      <c r="D29" s="186"/>
      <c r="E29" s="186"/>
      <c r="F29" s="186"/>
      <c r="G29" s="186"/>
      <c r="H29" s="186"/>
      <c r="I29" s="186"/>
      <c r="J29" s="186"/>
      <c r="K29" s="186"/>
      <c r="L29" s="186"/>
      <c r="Q29" s="131">
        <f>'Lookup Calculator'!J13</f>
        <v>4923.239130434783</v>
      </c>
      <c r="R29" s="241">
        <f>'Lookup Calculator'!J12</f>
        <v>4116.478260869565</v>
      </c>
      <c r="S29" s="242" t="s">
        <v>1022</v>
      </c>
      <c r="T29" s="33" t="s">
        <v>1117</v>
      </c>
    </row>
    <row r="30" spans="2:21" ht="21.75" customHeight="1" x14ac:dyDescent="0.4">
      <c r="B30" s="32"/>
      <c r="C30" s="186"/>
      <c r="D30" s="186"/>
      <c r="E30" s="186"/>
      <c r="F30" s="186"/>
      <c r="G30" s="186"/>
      <c r="H30" s="186"/>
      <c r="I30" s="186"/>
      <c r="J30" s="186"/>
      <c r="K30" s="186"/>
      <c r="L30" s="186"/>
      <c r="Q30" s="131">
        <f>'Lookup Calculator'!K13</f>
        <v>5464.21875</v>
      </c>
      <c r="R30" s="241">
        <f>'Lookup Calculator'!K12</f>
        <v>4078.4375</v>
      </c>
      <c r="S30" s="242" t="s">
        <v>1150</v>
      </c>
    </row>
    <row r="31" spans="2:21" ht="18.75" customHeight="1" x14ac:dyDescent="0.4">
      <c r="B31" s="32"/>
      <c r="C31" s="186"/>
      <c r="D31" s="186"/>
      <c r="E31" s="186"/>
      <c r="F31" s="186"/>
      <c r="G31" s="186"/>
      <c r="H31" s="186"/>
      <c r="I31" s="186"/>
      <c r="J31" s="186"/>
      <c r="K31" s="186"/>
      <c r="L31" s="186"/>
    </row>
    <row r="32" spans="2:21" ht="19.5" customHeight="1" x14ac:dyDescent="0.4">
      <c r="C32" s="186"/>
      <c r="D32" s="186"/>
      <c r="E32" s="186"/>
      <c r="F32" s="186"/>
      <c r="G32" s="186"/>
      <c r="H32" s="186"/>
      <c r="I32" s="186"/>
      <c r="J32" s="186"/>
    </row>
    <row r="33" spans="3:10" x14ac:dyDescent="0.4">
      <c r="C33" s="186"/>
      <c r="D33" s="186"/>
      <c r="E33" s="186"/>
      <c r="F33" s="186"/>
      <c r="G33" s="186"/>
      <c r="H33" s="186"/>
      <c r="I33" s="186"/>
      <c r="J33" s="186"/>
    </row>
    <row r="53" spans="2:2" x14ac:dyDescent="0.4">
      <c r="B53" s="32"/>
    </row>
    <row r="54" spans="2:2" x14ac:dyDescent="0.4">
      <c r="B54" s="32"/>
    </row>
    <row r="55" spans="2:2" x14ac:dyDescent="0.4">
      <c r="B55" s="32"/>
    </row>
  </sheetData>
  <sheetProtection sheet="1" objects="1" scenarios="1"/>
  <mergeCells count="8">
    <mergeCell ref="C9:H9"/>
    <mergeCell ref="Q3:U3"/>
    <mergeCell ref="Q6:U11"/>
    <mergeCell ref="Q12:U20"/>
    <mergeCell ref="Q4:U5"/>
    <mergeCell ref="I9:J9"/>
    <mergeCell ref="K7:N9"/>
    <mergeCell ref="K11:N19"/>
  </mergeCells>
  <printOptions horizontalCentered="1"/>
  <pageMargins left="0.7" right="0.7" top="0.75" bottom="0.75" header="0.3" footer="0.3"/>
  <pageSetup scale="75"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
  <sheetViews>
    <sheetView showGridLines="0" zoomScale="75" zoomScaleNormal="75" workbookViewId="0">
      <selection activeCell="B7" sqref="B7:C7"/>
    </sheetView>
  </sheetViews>
  <sheetFormatPr defaultColWidth="9.140625" defaultRowHeight="19.5" x14ac:dyDescent="0.4"/>
  <cols>
    <col min="1" max="1" width="4.28515625" style="33" customWidth="1"/>
    <col min="2" max="2" width="20.28515625" style="33" customWidth="1"/>
    <col min="3" max="3" width="10.7109375" style="33" customWidth="1"/>
    <col min="4" max="4" width="18.7109375" style="33" customWidth="1"/>
    <col min="5" max="7" width="12" style="33" customWidth="1"/>
    <col min="8" max="8" width="12.28515625" style="33" customWidth="1"/>
    <col min="9" max="9" width="12.5703125" style="33" customWidth="1"/>
    <col min="10" max="11" width="12.42578125" style="33" customWidth="1"/>
    <col min="12" max="12" width="14.28515625" style="33" customWidth="1"/>
    <col min="13" max="13" width="68.85546875" style="33" customWidth="1"/>
    <col min="14" max="14" width="14.28515625" style="33" customWidth="1"/>
    <col min="15" max="15" width="18.28515625" style="33" customWidth="1"/>
    <col min="16" max="16" width="9.140625" style="33"/>
    <col min="17" max="17" width="15.140625" style="33" bestFit="1" customWidth="1"/>
    <col min="18" max="18" width="13.5703125" style="33" bestFit="1" customWidth="1"/>
    <col min="19" max="19" width="15.140625" style="33" bestFit="1" customWidth="1"/>
    <col min="20" max="16384" width="9.140625" style="33"/>
  </cols>
  <sheetData>
    <row r="1" spans="2:22" x14ac:dyDescent="0.4">
      <c r="K1" s="138"/>
      <c r="L1" s="138"/>
      <c r="M1" s="138"/>
      <c r="N1" s="138"/>
      <c r="O1" s="138"/>
    </row>
    <row r="2" spans="2:22" x14ac:dyDescent="0.4">
      <c r="E2" s="138"/>
      <c r="F2" s="138"/>
      <c r="K2" s="138"/>
      <c r="L2" s="138"/>
      <c r="M2" s="138"/>
      <c r="N2" s="138"/>
      <c r="O2" s="138"/>
    </row>
    <row r="3" spans="2:22" x14ac:dyDescent="0.4">
      <c r="E3" s="138"/>
      <c r="F3" s="138"/>
      <c r="K3" s="138"/>
      <c r="L3" s="138"/>
      <c r="M3" s="138"/>
      <c r="N3" s="138"/>
      <c r="O3" s="138"/>
    </row>
    <row r="4" spans="2:22" x14ac:dyDescent="0.4">
      <c r="E4" s="138"/>
      <c r="F4" s="138"/>
      <c r="K4" s="138"/>
      <c r="L4" s="138"/>
      <c r="M4" s="138"/>
      <c r="N4" s="138"/>
      <c r="O4" s="138"/>
    </row>
    <row r="5" spans="2:22" ht="20.25" thickBot="1" x14ac:dyDescent="0.45">
      <c r="E5" s="138"/>
      <c r="F5" s="138"/>
      <c r="K5" s="138"/>
      <c r="L5" s="138"/>
      <c r="M5" s="138"/>
      <c r="N5" s="138"/>
      <c r="O5" s="138"/>
    </row>
    <row r="6" spans="2:22" ht="21" thickBot="1" x14ac:dyDescent="0.45">
      <c r="B6" s="138" t="s">
        <v>910</v>
      </c>
      <c r="C6" s="138"/>
      <c r="D6" s="401" t="s">
        <v>647</v>
      </c>
      <c r="E6" s="414" t="s">
        <v>1152</v>
      </c>
      <c r="F6" s="415"/>
      <c r="G6" s="415"/>
      <c r="H6" s="415"/>
      <c r="I6" s="415"/>
      <c r="J6" s="415"/>
      <c r="K6" s="416"/>
      <c r="L6" s="138"/>
      <c r="M6" s="398" t="s">
        <v>1158</v>
      </c>
      <c r="N6" s="138"/>
      <c r="O6" s="138"/>
    </row>
    <row r="7" spans="2:22" ht="21.75" customHeight="1" thickTop="1" thickBot="1" x14ac:dyDescent="0.45">
      <c r="B7" s="404" t="s">
        <v>300</v>
      </c>
      <c r="C7" s="405"/>
      <c r="D7" s="402"/>
      <c r="E7" s="358"/>
      <c r="G7" s="138"/>
      <c r="H7" s="347"/>
      <c r="I7" s="359" t="str">
        <f>IF(I8&gt;0,"+ /Gallon","- /Gallon")</f>
        <v>- /Gallon</v>
      </c>
      <c r="J7" s="348"/>
      <c r="K7" s="138"/>
      <c r="L7" s="355" t="str">
        <f>IF(L8&gt;0,"+ /Gallon","- /Gallon")</f>
        <v>- /Gallon</v>
      </c>
      <c r="M7" s="399"/>
      <c r="N7" s="138"/>
      <c r="O7" s="138"/>
    </row>
    <row r="8" spans="2:22" ht="21" thickBot="1" x14ac:dyDescent="0.45">
      <c r="B8" s="410" t="s">
        <v>1070</v>
      </c>
      <c r="C8" s="412">
        <v>44682</v>
      </c>
      <c r="D8" s="403"/>
      <c r="E8" s="417" t="s">
        <v>1153</v>
      </c>
      <c r="F8" s="418"/>
      <c r="G8" s="352" t="s">
        <v>1155</v>
      </c>
      <c r="H8" s="351">
        <v>5</v>
      </c>
      <c r="I8" s="350">
        <f>H8-Avgas_Cost</f>
        <v>0</v>
      </c>
      <c r="J8" s="353" t="s">
        <v>1154</v>
      </c>
      <c r="K8" s="349">
        <v>4</v>
      </c>
      <c r="L8" s="356">
        <f>K8-Jet_Cost</f>
        <v>0</v>
      </c>
      <c r="M8" s="399"/>
      <c r="N8" s="138"/>
      <c r="O8" s="138"/>
    </row>
    <row r="9" spans="2:22" ht="39.75" customHeight="1" thickTop="1" thickBot="1" x14ac:dyDescent="0.45">
      <c r="B9" s="411"/>
      <c r="C9" s="413"/>
      <c r="D9" s="196"/>
      <c r="E9" s="368" t="s">
        <v>1095</v>
      </c>
      <c r="F9" s="369" t="s">
        <v>1</v>
      </c>
      <c r="G9" s="369" t="s">
        <v>885</v>
      </c>
      <c r="H9" s="370" t="s">
        <v>1078</v>
      </c>
      <c r="I9" s="369" t="s">
        <v>2</v>
      </c>
      <c r="J9" s="369" t="s">
        <v>1124</v>
      </c>
      <c r="K9" s="369" t="s">
        <v>1163</v>
      </c>
      <c r="L9" s="371" t="s">
        <v>3</v>
      </c>
      <c r="M9" s="400"/>
      <c r="N9" s="138"/>
      <c r="R9" s="138"/>
    </row>
    <row r="10" spans="2:22" ht="21" thickTop="1" thickBot="1" x14ac:dyDescent="0.45">
      <c r="B10" s="197" t="s">
        <v>643</v>
      </c>
      <c r="C10" s="276" t="str">
        <f>VLOOKUP(B7,Airports!B3:F404,4)</f>
        <v>YES</v>
      </c>
      <c r="D10" s="313" t="s">
        <v>646</v>
      </c>
      <c r="E10" s="312">
        <f>((E14*Navajo_Rate)*2)+Navajo_Ld_Fee</f>
        <v>3500.48</v>
      </c>
      <c r="F10" s="312">
        <f>((F14*B99_Rate)*2)+B99_Ld_Fee</f>
        <v>4325.6452380952387</v>
      </c>
      <c r="G10" s="312">
        <f>((G14*Volpar_Rate)*2)+Volpar_Ld_Fee</f>
        <v>4474.7524561403516</v>
      </c>
      <c r="H10" s="312">
        <f>((H14*B200_Rate)*2)+B200_Ld_fee</f>
        <v>4440.9787715545353</v>
      </c>
      <c r="I10" s="312">
        <f>((I14*SA227_Rate)*2)+SA227_Ld_Fee</f>
        <v>4447.3956521739128</v>
      </c>
      <c r="J10" s="322">
        <f>((J14*Heavy_Metro_Rate)*2)+Heavy_Metro_Ldg_Fee</f>
        <v>5556.1826086956517</v>
      </c>
      <c r="K10" s="312" cm="1">
        <f t="array" ref="K10">((K14*SD330_Rate)*2)+SD330_Ld_Fee</f>
        <v>9186.6739784946221</v>
      </c>
      <c r="L10" s="331">
        <f>((L14*Super_Rate)*2)+Super_Ld_Fee</f>
        <v>8645.3549999999996</v>
      </c>
      <c r="M10" s="357" t="s">
        <v>1159</v>
      </c>
      <c r="N10" s="138"/>
      <c r="R10" s="138"/>
      <c r="T10" s="207"/>
      <c r="U10" s="207"/>
      <c r="V10" s="207"/>
    </row>
    <row r="11" spans="2:22" x14ac:dyDescent="0.4">
      <c r="B11" s="198" t="s">
        <v>0</v>
      </c>
      <c r="C11" s="406" t="s">
        <v>1064</v>
      </c>
      <c r="D11" s="277" t="s">
        <v>197</v>
      </c>
      <c r="E11" s="305">
        <f t="shared" ref="E11" si="0">E14*2</f>
        <v>2.9041666666666668</v>
      </c>
      <c r="F11" s="305">
        <f t="shared" ref="F11:L11" si="1">F14*2</f>
        <v>2.7361904761904765</v>
      </c>
      <c r="G11" s="305">
        <f t="shared" si="1"/>
        <v>2.5385964912280703</v>
      </c>
      <c r="H11" s="306">
        <f t="shared" si="1"/>
        <v>2.2043643857772679</v>
      </c>
      <c r="I11" s="305">
        <f t="shared" si="1"/>
        <v>2.2043478260869565</v>
      </c>
      <c r="J11" s="323">
        <f t="shared" si="1"/>
        <v>2.2043478260869565</v>
      </c>
      <c r="K11" s="305">
        <f>K14*2</f>
        <v>3.1591397849462362</v>
      </c>
      <c r="L11" s="332">
        <f t="shared" si="1"/>
        <v>3.1375000000000002</v>
      </c>
      <c r="M11" s="427" t="str">
        <f>VLOOKUP(B7,Airports!B3:F403,5)</f>
        <v>7,542'  paved  - Fuel Account at Servant Air 478-4404 or Andrews 478-2566, Twr 478-4339, Auto Wx 478-2442, NOS Wx 478-4338, Rwy Main 539-7072, UPS 478-4404, ERA 478-4363,</v>
      </c>
      <c r="N11" s="138"/>
      <c r="R11" s="138"/>
      <c r="T11" s="207"/>
      <c r="U11" s="207"/>
      <c r="V11" s="207"/>
    </row>
    <row r="12" spans="2:22" x14ac:dyDescent="0.4">
      <c r="B12" s="199" t="str">
        <f>VLOOKUP(B7,Airports!B3:F401,1)</f>
        <v>Kodiak</v>
      </c>
      <c r="C12" s="407"/>
      <c r="D12" s="200" t="s">
        <v>1126</v>
      </c>
      <c r="E12" s="307">
        <f>Navajo_Payload-((E14*2)*Navajo_PPH)-(2*Navajo_TO_Fuel)</f>
        <v>941</v>
      </c>
      <c r="F12" s="307">
        <f>B99_Payload-((F14*2)*B99_PPH)-(2*B99_TO_Fuel)</f>
        <v>1867.5047619047614</v>
      </c>
      <c r="G12" s="307">
        <f>Volpar_Payload-((G14*2)*Volpar_PPH)-(2*Volpar_to_Fuel)</f>
        <v>2489.5017543859649</v>
      </c>
      <c r="H12" s="308">
        <f>B200_Payload-((H14*2)*B200_PPH)-(2*B200_TO_Fuel)</f>
        <v>2188.9449299559124</v>
      </c>
      <c r="I12" s="307">
        <f>SA227_Payload-((I14*2)*SA227_PPH)-(2*SA227_TO_Fuel)</f>
        <v>3086.478260869565</v>
      </c>
      <c r="J12" s="309">
        <f>((Heavy_Metro_Payload-((J14*2)*Heavy_Metro_PPH)-(2*Heavy_Metro_TO_Fuel)))</f>
        <v>4116.478260869565</v>
      </c>
      <c r="K12" s="307">
        <f>SD330_Payload-((L14*2)*SD330_PPH)-(2*SD330_TO_Fuel)</f>
        <v>4078.4375</v>
      </c>
      <c r="L12" s="333">
        <f>Super_Payload-((L14*2)*Super_PPH)-(2*Super_TO_Fuel)</f>
        <v>6339.25</v>
      </c>
      <c r="M12" s="428"/>
      <c r="N12" s="138"/>
      <c r="R12" s="138"/>
      <c r="T12" s="207"/>
      <c r="U12" s="207"/>
      <c r="V12" s="207"/>
    </row>
    <row r="13" spans="2:22" x14ac:dyDescent="0.4">
      <c r="B13" s="201" t="str">
        <f>VLOOKUP(B7,Airports!B3:F404,2)</f>
        <v>ADQ</v>
      </c>
      <c r="C13" s="202">
        <f>VLOOKUP(B7,Airports!B3:F404,3)</f>
        <v>219</v>
      </c>
      <c r="D13" s="200" t="s">
        <v>198</v>
      </c>
      <c r="E13" s="307">
        <f>Navajo_Payload-(E14*Navajo_PPH)-Navajo_TO_Fuel</f>
        <v>1320.5</v>
      </c>
      <c r="F13" s="307">
        <f>B99_Payload-(F14*B99_PPH)-B99_TO_Fuel</f>
        <v>2658.7523809523809</v>
      </c>
      <c r="G13" s="307">
        <f>Volpar_Payload-(G14*Volpar_PPH)-Volpar_to_Fuel</f>
        <v>3244.7508771929824</v>
      </c>
      <c r="H13" s="308">
        <f>B200_Payload-(H14*B200_PPH)-B200_TO_Fuel</f>
        <v>3094.4724649779564</v>
      </c>
      <c r="I13" s="307">
        <f>SA227_Payload-(I14*SA227_PPH)-SA227_TO_Fuel</f>
        <v>3893.2391304347825</v>
      </c>
      <c r="J13" s="309">
        <f>Heavy_Metro_Payload-(J14*Heavy_Metro_PPH)-(Heavy_Metro_TO_Fuel)</f>
        <v>4923.239130434783</v>
      </c>
      <c r="K13" s="307">
        <f>SD330_Payload-(L14*SD330_PPH)-SD330_TO_Fuel</f>
        <v>5464.21875</v>
      </c>
      <c r="L13" s="333">
        <f>Super_Payload-(L14*Super_PPH)-Super_TO_Fuel</f>
        <v>7644.625</v>
      </c>
      <c r="M13" s="428"/>
      <c r="N13" s="138"/>
      <c r="R13" s="138"/>
    </row>
    <row r="14" spans="2:22" ht="20.25" thickBot="1" x14ac:dyDescent="0.45">
      <c r="B14" s="421" t="str">
        <f>IF(H12&gt;7500,"NOTE:  7,500# Max Payload",A48)</f>
        <v>NOTE:  7,500# Max Payload</v>
      </c>
      <c r="C14" s="422"/>
      <c r="D14" s="203" t="s">
        <v>199</v>
      </c>
      <c r="E14" s="310">
        <f>((C13/Navajo_Speed_Min)+Navajo_Min)/60</f>
        <v>1.4520833333333334</v>
      </c>
      <c r="F14" s="310">
        <f>((C13/B99_Speed_Min)+B99_Min)/60</f>
        <v>1.3680952380952383</v>
      </c>
      <c r="G14" s="310">
        <f>((C13/Volpar_Speed_Min)+Volpar_Min)/60</f>
        <v>1.2692982456140351</v>
      </c>
      <c r="H14" s="311">
        <f>((C13/B200_Speed_Min)+B200_Min)/60</f>
        <v>1.1021821928886339</v>
      </c>
      <c r="I14" s="310">
        <f>((C13/SA227_Speed_Min)+SA227_Min)/60</f>
        <v>1.1021739130434782</v>
      </c>
      <c r="J14" s="327">
        <f>((C13/Heavy_Metro_Speed_Min)+Heavy_Metro_Min)/60</f>
        <v>1.1021739130434782</v>
      </c>
      <c r="K14" s="310">
        <f>((C13/SD330_Speed_Min)+SD330_Min)/60</f>
        <v>1.5795698924731181</v>
      </c>
      <c r="L14" s="324">
        <f>((C13/Super_Speed_Min)+Super_Min)/60</f>
        <v>1.5687500000000001</v>
      </c>
      <c r="M14" s="428"/>
      <c r="N14" s="138"/>
      <c r="R14" s="138"/>
    </row>
    <row r="15" spans="2:22" ht="20.25" thickTop="1" x14ac:dyDescent="0.4">
      <c r="B15" s="192"/>
      <c r="C15" s="193"/>
      <c r="D15" s="362" t="s">
        <v>933</v>
      </c>
      <c r="E15" s="287">
        <f>E10-E16</f>
        <v>2919.6466666666665</v>
      </c>
      <c r="F15" s="287">
        <f t="shared" ref="F15:L15" si="2">F10-F16</f>
        <v>3504.7880952380956</v>
      </c>
      <c r="G15" s="287">
        <f t="shared" si="2"/>
        <v>3642.0928070175446</v>
      </c>
      <c r="H15" s="287">
        <f t="shared" si="2"/>
        <v>3603.3203049591734</v>
      </c>
      <c r="I15" s="287">
        <f t="shared" si="2"/>
        <v>3565.6565217391303</v>
      </c>
      <c r="J15" s="328">
        <f t="shared" si="2"/>
        <v>4674.4434782608687</v>
      </c>
      <c r="K15" s="287">
        <f>K10-K16</f>
        <v>7960.9277419354821</v>
      </c>
      <c r="L15" s="325">
        <f t="shared" si="2"/>
        <v>6762.8549999999996</v>
      </c>
      <c r="M15" s="428"/>
      <c r="N15" s="138"/>
      <c r="R15" s="138"/>
      <c r="T15" s="208"/>
      <c r="U15" s="208"/>
      <c r="V15" s="208"/>
    </row>
    <row r="16" spans="2:22" ht="20.25" thickBot="1" x14ac:dyDescent="0.45">
      <c r="B16" s="194"/>
      <c r="C16" s="193"/>
      <c r="D16" s="363" t="s">
        <v>934</v>
      </c>
      <c r="E16" s="288">
        <f>((E14*Navajo_Tax_gal)*Avgas_Cost*2)</f>
        <v>580.83333333333337</v>
      </c>
      <c r="F16" s="288">
        <f>((F14*B99_Tax_Gal)*Jet_Cost)*2</f>
        <v>820.857142857143</v>
      </c>
      <c r="G16" s="288">
        <f>((G14*Volpar_Tax_Gal)*Jet_Cost)*2</f>
        <v>832.65964912280708</v>
      </c>
      <c r="H16" s="289">
        <f>((H14*B200_Tax_Gal)*Jet_Cost)*2</f>
        <v>837.6584665953618</v>
      </c>
      <c r="I16" s="288">
        <f>((I14*SA227_Tax_Gal)*Jet_Cost)*2</f>
        <v>881.73913043478262</v>
      </c>
      <c r="J16" s="329">
        <f>((J14*Heavy_Metro_Tax_Gal)*Jet_Cost)*2</f>
        <v>881.73913043478262</v>
      </c>
      <c r="K16" s="288">
        <f>((K14*SD330_Tax_Gal)*Jet_Cost)*2</f>
        <v>1225.7462365591396</v>
      </c>
      <c r="L16" s="326">
        <f>((L14*Super_Tax_gal)*Avgas_Cost)*2</f>
        <v>1882.5</v>
      </c>
      <c r="M16" s="429"/>
      <c r="N16" s="138"/>
      <c r="R16" s="138"/>
      <c r="T16" s="208"/>
      <c r="U16" s="208"/>
      <c r="V16" s="208"/>
    </row>
    <row r="17" spans="1:18" ht="21" thickTop="1" thickBot="1" x14ac:dyDescent="0.45">
      <c r="B17" s="194"/>
      <c r="C17" s="193"/>
      <c r="D17" s="354" t="s">
        <v>1156</v>
      </c>
      <c r="E17" s="364">
        <f>((E11*Navajo_Tax_gal)*I8)</f>
        <v>0</v>
      </c>
      <c r="F17" s="364">
        <f>((F11*B99_Tax_Gal)*L8)</f>
        <v>0</v>
      </c>
      <c r="G17" s="364">
        <f>((G11*Volpar_Tax_Gal)*L8)</f>
        <v>0</v>
      </c>
      <c r="H17" s="364">
        <f>((H11*B200_Tax_Gal)*L8)</f>
        <v>0</v>
      </c>
      <c r="I17" s="364">
        <f>((I11*SA227_Tax_Gal)*L8)</f>
        <v>0</v>
      </c>
      <c r="J17" s="364">
        <f>((J11*SA227_Tax_Gal)*L8)</f>
        <v>0</v>
      </c>
      <c r="K17" s="364">
        <f>((K11*SD330_Tax_Gal)*L8)</f>
        <v>0</v>
      </c>
      <c r="L17" s="365">
        <f>((E11*Super_Tax_gal)*I8)</f>
        <v>0</v>
      </c>
      <c r="M17" s="429"/>
    </row>
    <row r="18" spans="1:18" ht="21" thickTop="1" thickBot="1" x14ac:dyDescent="0.45">
      <c r="B18" s="194"/>
      <c r="C18" s="423" t="s">
        <v>960</v>
      </c>
      <c r="D18" s="424"/>
      <c r="E18" s="297">
        <f>(E10+E17)*0.0625</f>
        <v>218.78</v>
      </c>
      <c r="F18" s="297">
        <f>(F10+F17)*0.0625</f>
        <v>270.35282738095242</v>
      </c>
      <c r="G18" s="297">
        <f t="shared" ref="G18:K18" si="3">(G10+G17)*0.0625</f>
        <v>279.67202850877197</v>
      </c>
      <c r="H18" s="297">
        <f t="shared" si="3"/>
        <v>277.56117322215846</v>
      </c>
      <c r="I18" s="297">
        <f t="shared" si="3"/>
        <v>277.96222826086955</v>
      </c>
      <c r="J18" s="297">
        <f t="shared" si="3"/>
        <v>347.26141304347823</v>
      </c>
      <c r="K18" s="297">
        <f t="shared" si="3"/>
        <v>574.16712365591388</v>
      </c>
      <c r="L18" s="297">
        <f>(L10+L17)*0.0625</f>
        <v>540.33468749999997</v>
      </c>
      <c r="M18" s="430"/>
      <c r="N18" s="138"/>
      <c r="R18" s="138"/>
    </row>
    <row r="19" spans="1:18" ht="20.25" thickBot="1" x14ac:dyDescent="0.45">
      <c r="B19" s="195"/>
      <c r="C19" s="425" t="s">
        <v>962</v>
      </c>
      <c r="D19" s="426"/>
      <c r="E19" s="298">
        <f>E10+E17+E18</f>
        <v>3719.26</v>
      </c>
      <c r="F19" s="298">
        <f t="shared" ref="F19:L19" si="4">F10+F17+F18</f>
        <v>4595.9980654761912</v>
      </c>
      <c r="G19" s="298">
        <f t="shared" si="4"/>
        <v>4754.4244846491238</v>
      </c>
      <c r="H19" s="298">
        <f t="shared" si="4"/>
        <v>4718.539944776694</v>
      </c>
      <c r="I19" s="298">
        <f t="shared" si="4"/>
        <v>4725.3578804347826</v>
      </c>
      <c r="J19" s="298">
        <f t="shared" si="4"/>
        <v>5903.4440217391302</v>
      </c>
      <c r="K19" s="298">
        <f t="shared" si="4"/>
        <v>9760.8411021505362</v>
      </c>
      <c r="L19" s="298">
        <f t="shared" si="4"/>
        <v>9185.6896875000002</v>
      </c>
      <c r="M19" s="195"/>
      <c r="N19" s="138"/>
      <c r="R19" s="138"/>
    </row>
    <row r="20" spans="1:18" ht="20.25" thickTop="1" x14ac:dyDescent="0.4">
      <c r="B20" s="137"/>
      <c r="C20" s="408" t="s">
        <v>961</v>
      </c>
      <c r="D20" s="409"/>
      <c r="E20" s="290">
        <f>(E10+E17)*0.075</f>
        <v>262.536</v>
      </c>
      <c r="F20" s="290">
        <f>(F10+F17)*0.075</f>
        <v>324.42339285714291</v>
      </c>
      <c r="G20" s="290" t="s">
        <v>1028</v>
      </c>
      <c r="H20" s="290">
        <f>(H10+H17)*0.075</f>
        <v>333.07340786659012</v>
      </c>
      <c r="I20" s="290">
        <f t="shared" ref="I20" si="5">(I10+I17)*0.075</f>
        <v>333.55467391304347</v>
      </c>
      <c r="J20" s="290">
        <f>(J10+J17)*0.075</f>
        <v>416.71369565217384</v>
      </c>
      <c r="K20" s="290" t="s">
        <v>1028</v>
      </c>
      <c r="L20" s="291">
        <f>(L10+L17)*0.075</f>
        <v>648.40162499999997</v>
      </c>
      <c r="M20" s="204"/>
      <c r="N20" s="204"/>
      <c r="O20" s="204"/>
    </row>
    <row r="21" spans="1:18" ht="20.25" thickBot="1" x14ac:dyDescent="0.45">
      <c r="B21" s="137"/>
      <c r="C21" s="419" t="s">
        <v>963</v>
      </c>
      <c r="D21" s="420"/>
      <c r="E21" s="292">
        <f>E10+E17+E20</f>
        <v>3763.0160000000001</v>
      </c>
      <c r="F21" s="292">
        <f t="shared" ref="F21:L21" si="6">F10+F17+F20</f>
        <v>4650.0686309523817</v>
      </c>
      <c r="G21" s="292" t="s">
        <v>1028</v>
      </c>
      <c r="H21" s="292">
        <f t="shared" si="6"/>
        <v>4774.0521794211254</v>
      </c>
      <c r="I21" s="292">
        <f t="shared" si="6"/>
        <v>4780.950326086956</v>
      </c>
      <c r="J21" s="292">
        <f t="shared" si="6"/>
        <v>5972.8963043478252</v>
      </c>
      <c r="K21" s="292" t="s">
        <v>1028</v>
      </c>
      <c r="L21" s="292">
        <f t="shared" si="6"/>
        <v>9293.756625</v>
      </c>
      <c r="M21" s="204"/>
      <c r="N21" s="204"/>
      <c r="O21" s="204"/>
    </row>
    <row r="22" spans="1:18" ht="21" thickTop="1" thickBot="1" x14ac:dyDescent="0.45">
      <c r="B22" s="137"/>
      <c r="C22" s="293" t="s">
        <v>1108</v>
      </c>
      <c r="D22" s="294"/>
      <c r="E22" s="295">
        <f>Navajo_Rate</f>
        <v>1200</v>
      </c>
      <c r="F22" s="295">
        <f>B99_Rate</f>
        <v>1571</v>
      </c>
      <c r="G22" s="295">
        <f>Volpar_Rate</f>
        <v>1751</v>
      </c>
      <c r="H22" s="296">
        <f>B200_Rate</f>
        <v>2000</v>
      </c>
      <c r="I22" s="295">
        <f>SA227_Rate</f>
        <v>2000</v>
      </c>
      <c r="J22" s="330">
        <f>Heavy_Metro_Rate</f>
        <v>2503</v>
      </c>
      <c r="K22" s="295">
        <f>SD330_Rate</f>
        <v>2890</v>
      </c>
      <c r="L22" s="334">
        <f>Super_Rate</f>
        <v>2730</v>
      </c>
      <c r="M22" s="204"/>
      <c r="N22" s="204"/>
      <c r="O22" s="204"/>
    </row>
    <row r="23" spans="1:18" ht="20.25" thickTop="1" x14ac:dyDescent="0.4">
      <c r="B23" s="137"/>
      <c r="C23" s="137"/>
      <c r="D23" s="137"/>
      <c r="E23" s="137"/>
      <c r="F23" s="137"/>
      <c r="G23" s="137"/>
      <c r="H23" s="137"/>
      <c r="I23" s="137"/>
      <c r="J23" s="137"/>
      <c r="K23" s="138"/>
      <c r="L23" s="138"/>
      <c r="M23" s="138"/>
      <c r="N23" s="204"/>
      <c r="O23" s="204"/>
    </row>
    <row r="24" spans="1:18" x14ac:dyDescent="0.4">
      <c r="B24" s="137"/>
      <c r="C24" s="137"/>
      <c r="D24" s="137"/>
      <c r="E24" s="137"/>
      <c r="F24" s="137"/>
      <c r="G24" s="137"/>
      <c r="H24" s="137"/>
      <c r="I24" s="137"/>
      <c r="J24" s="137"/>
      <c r="K24" s="138"/>
      <c r="L24" s="138"/>
      <c r="M24" s="204"/>
      <c r="N24" s="204"/>
      <c r="O24" s="204"/>
    </row>
    <row r="25" spans="1:18" x14ac:dyDescent="0.4">
      <c r="A25" s="32"/>
      <c r="B25" s="137"/>
      <c r="C25" s="137"/>
      <c r="D25" s="137"/>
      <c r="E25" s="137"/>
      <c r="F25" s="137"/>
      <c r="G25" s="137"/>
      <c r="H25" s="137"/>
      <c r="I25" s="137"/>
      <c r="J25" s="137"/>
      <c r="K25" s="138"/>
      <c r="L25" s="138"/>
      <c r="M25" s="204"/>
      <c r="N25" s="204"/>
      <c r="O25" s="204"/>
    </row>
    <row r="26" spans="1:18" x14ac:dyDescent="0.4">
      <c r="A26" s="32"/>
      <c r="B26" s="137"/>
      <c r="C26" s="137"/>
      <c r="D26" s="137"/>
      <c r="E26" s="137"/>
      <c r="F26" s="137"/>
      <c r="G26" s="137"/>
      <c r="H26" s="137"/>
      <c r="I26" s="137"/>
      <c r="J26" s="137"/>
      <c r="K26" s="138"/>
      <c r="L26" s="138"/>
      <c r="M26" s="138"/>
      <c r="N26" s="138"/>
      <c r="O26" s="138"/>
    </row>
    <row r="27" spans="1:18" x14ac:dyDescent="0.4">
      <c r="C27" s="137"/>
      <c r="D27" s="137"/>
      <c r="E27" s="137"/>
      <c r="F27" s="137"/>
      <c r="G27" s="137"/>
      <c r="H27" s="137"/>
      <c r="I27" s="137"/>
      <c r="J27" s="137"/>
      <c r="K27" s="138"/>
      <c r="L27" s="204"/>
      <c r="M27" s="138"/>
      <c r="N27" s="138"/>
      <c r="O27" s="138"/>
    </row>
    <row r="28" spans="1:18" x14ac:dyDescent="0.4">
      <c r="C28" s="137"/>
      <c r="D28" s="137"/>
      <c r="E28" s="137"/>
      <c r="F28" s="137"/>
      <c r="G28" s="137"/>
      <c r="H28" s="137"/>
      <c r="I28" s="137"/>
      <c r="J28" s="137"/>
      <c r="K28" s="138"/>
      <c r="L28" s="138"/>
      <c r="M28" s="138"/>
      <c r="N28" s="138"/>
      <c r="O28" s="138"/>
    </row>
    <row r="29" spans="1:18" x14ac:dyDescent="0.4">
      <c r="C29" s="137"/>
      <c r="D29" s="137"/>
      <c r="E29" s="137"/>
      <c r="F29" s="137"/>
      <c r="G29" s="137"/>
      <c r="H29" s="137"/>
      <c r="I29" s="137"/>
      <c r="J29" s="137"/>
      <c r="K29" s="138"/>
      <c r="L29" s="138"/>
      <c r="M29" s="138"/>
      <c r="N29" s="138"/>
      <c r="O29" s="138"/>
    </row>
    <row r="30" spans="1:18" x14ac:dyDescent="0.4">
      <c r="D30" s="137"/>
      <c r="E30" s="137"/>
      <c r="F30" s="137"/>
      <c r="G30" s="137"/>
      <c r="H30" s="137"/>
      <c r="I30" s="137"/>
      <c r="K30" s="138"/>
      <c r="L30" s="138"/>
      <c r="M30" s="138"/>
      <c r="N30" s="138"/>
      <c r="O30" s="138"/>
    </row>
    <row r="31" spans="1:18" x14ac:dyDescent="0.4">
      <c r="D31" s="137"/>
      <c r="E31" s="137"/>
      <c r="F31" s="137"/>
      <c r="G31" s="137"/>
      <c r="H31" s="137"/>
      <c r="I31" s="137"/>
      <c r="K31" s="138"/>
      <c r="L31" s="138"/>
      <c r="M31" s="138"/>
      <c r="N31" s="138"/>
      <c r="O31" s="138"/>
    </row>
    <row r="32" spans="1:18" x14ac:dyDescent="0.4">
      <c r="K32" s="138"/>
      <c r="L32" s="138"/>
      <c r="M32" s="138"/>
      <c r="N32" s="138"/>
      <c r="O32" s="138"/>
    </row>
    <row r="33" spans="1:15" x14ac:dyDescent="0.4">
      <c r="K33" s="138"/>
      <c r="L33" s="138"/>
      <c r="M33" s="138"/>
      <c r="N33" s="138"/>
      <c r="O33" s="138"/>
    </row>
    <row r="34" spans="1:15" x14ac:dyDescent="0.4">
      <c r="K34" s="138"/>
      <c r="L34" s="138"/>
      <c r="M34" s="138"/>
      <c r="N34" s="138"/>
      <c r="O34" s="138"/>
    </row>
    <row r="35" spans="1:15" x14ac:dyDescent="0.4">
      <c r="K35" s="138"/>
      <c r="L35" s="138"/>
      <c r="M35" s="138"/>
      <c r="N35" s="138"/>
      <c r="O35" s="138"/>
    </row>
    <row r="36" spans="1:15" x14ac:dyDescent="0.4">
      <c r="K36" s="138"/>
      <c r="L36" s="138"/>
      <c r="M36" s="138"/>
      <c r="N36" s="138"/>
      <c r="O36" s="138"/>
    </row>
    <row r="37" spans="1:15" x14ac:dyDescent="0.4">
      <c r="K37" s="138"/>
      <c r="L37" s="138"/>
      <c r="M37" s="138"/>
      <c r="N37" s="138"/>
      <c r="O37" s="138"/>
    </row>
    <row r="38" spans="1:15" x14ac:dyDescent="0.4">
      <c r="K38" s="138"/>
      <c r="L38" s="138"/>
      <c r="M38" s="138"/>
      <c r="N38" s="138"/>
      <c r="O38" s="138"/>
    </row>
    <row r="39" spans="1:15" x14ac:dyDescent="0.4">
      <c r="K39" s="138"/>
      <c r="L39" s="138"/>
      <c r="M39" s="138"/>
      <c r="N39" s="138"/>
      <c r="O39" s="138"/>
    </row>
    <row r="40" spans="1:15" x14ac:dyDescent="0.4">
      <c r="K40" s="138"/>
      <c r="L40" s="138"/>
      <c r="M40" s="138"/>
      <c r="N40" s="138"/>
      <c r="O40" s="138"/>
    </row>
    <row r="41" spans="1:15" x14ac:dyDescent="0.4">
      <c r="K41" s="138"/>
      <c r="L41" s="138"/>
      <c r="M41" s="138"/>
      <c r="N41" s="138"/>
      <c r="O41" s="138"/>
    </row>
    <row r="42" spans="1:15" x14ac:dyDescent="0.4">
      <c r="K42" s="138"/>
      <c r="L42" s="138"/>
      <c r="M42" s="138"/>
      <c r="N42" s="138"/>
      <c r="O42" s="138"/>
    </row>
    <row r="43" spans="1:15" x14ac:dyDescent="0.4">
      <c r="K43" s="138"/>
      <c r="L43" s="138"/>
    </row>
    <row r="44" spans="1:15" x14ac:dyDescent="0.4">
      <c r="K44" s="138"/>
      <c r="L44" s="138"/>
    </row>
    <row r="45" spans="1:15" x14ac:dyDescent="0.4">
      <c r="K45" s="138"/>
      <c r="L45" s="138"/>
    </row>
    <row r="48" spans="1:15" x14ac:dyDescent="0.4">
      <c r="A48" s="32" t="str">
        <f>IF(H13&gt;7500,"NOTE:  7,500# Max Payload",A49)</f>
        <v>NOTE:  7,500# Max Payload</v>
      </c>
    </row>
    <row r="49" spans="1:1" x14ac:dyDescent="0.4">
      <c r="A49" s="32" t="str">
        <f>IF(L12&gt;7500,"NOTE:  7,500# Max Payload",A50)</f>
        <v>NOTE:  7,500# Max Payload</v>
      </c>
    </row>
    <row r="50" spans="1:1" x14ac:dyDescent="0.4">
      <c r="A50" s="32" t="str">
        <f>IF(L13&gt;7500,"NOTE:  7,500# Max Payload","")</f>
        <v>NOTE:  7,500# Max Payload</v>
      </c>
    </row>
  </sheetData>
  <mergeCells count="14">
    <mergeCell ref="C21:D21"/>
    <mergeCell ref="B14:C14"/>
    <mergeCell ref="C18:D18"/>
    <mergeCell ref="C19:D19"/>
    <mergeCell ref="M11:M18"/>
    <mergeCell ref="M6:M9"/>
    <mergeCell ref="D6:D8"/>
    <mergeCell ref="B7:C7"/>
    <mergeCell ref="C11:C12"/>
    <mergeCell ref="C20:D20"/>
    <mergeCell ref="B8:B9"/>
    <mergeCell ref="C8:C9"/>
    <mergeCell ref="E6:K6"/>
    <mergeCell ref="E8:F8"/>
  </mergeCells>
  <pageMargins left="0.7" right="0.7" top="0.75" bottom="0.75" header="0.3" footer="0.3"/>
  <pageSetup scale="70"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Airport List" prompt="Use the pull down list to select airport" xr:uid="{00000000-0002-0000-0100-000000000000}">
          <x14:formula1>
            <xm:f>Airports!$B$3:$B$404</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W36"/>
  <sheetViews>
    <sheetView showGridLines="0" topLeftCell="A7" zoomScaleNormal="100" workbookViewId="0">
      <selection sqref="A1:Q33"/>
    </sheetView>
  </sheetViews>
  <sheetFormatPr defaultColWidth="9.140625" defaultRowHeight="15" x14ac:dyDescent="0.25"/>
  <cols>
    <col min="1" max="1" width="1.28515625" customWidth="1"/>
    <col min="2" max="2" width="6.7109375" customWidth="1"/>
    <col min="3" max="3" width="7.85546875" customWidth="1"/>
    <col min="4" max="4" width="5.28515625" customWidth="1"/>
    <col min="5" max="5" width="9.7109375" customWidth="1"/>
    <col min="6" max="6" width="9" customWidth="1"/>
    <col min="7" max="7" width="13.5703125" bestFit="1" customWidth="1"/>
    <col min="8" max="8" width="7.7109375" customWidth="1"/>
    <col min="9" max="9" width="10.28515625" customWidth="1"/>
    <col min="12" max="12" width="12.7109375" bestFit="1" customWidth="1"/>
    <col min="13" max="14" width="5.140625" customWidth="1"/>
    <col min="15" max="15" width="9.140625" customWidth="1"/>
    <col min="16" max="16" width="11.5703125" customWidth="1"/>
    <col min="17" max="18" width="9.140625" customWidth="1"/>
    <col min="22" max="22" width="10.5703125" bestFit="1" customWidth="1"/>
    <col min="23" max="23" width="11.28515625" bestFit="1" customWidth="1"/>
    <col min="25" max="25" width="12.28515625" bestFit="1" customWidth="1"/>
    <col min="26" max="26" width="12" bestFit="1" customWidth="1"/>
  </cols>
  <sheetData>
    <row r="2" spans="2:18" x14ac:dyDescent="0.25">
      <c r="H2" s="432" t="s">
        <v>840</v>
      </c>
      <c r="I2" s="432"/>
    </row>
    <row r="3" spans="2:18" ht="15.75" thickBot="1" x14ac:dyDescent="0.3">
      <c r="F3" s="435"/>
      <c r="G3" s="435"/>
    </row>
    <row r="4" spans="2:18" ht="16.5" thickBot="1" x14ac:dyDescent="0.3">
      <c r="E4" s="88" t="s">
        <v>829</v>
      </c>
      <c r="F4" s="447" t="s">
        <v>2</v>
      </c>
      <c r="G4" s="448"/>
      <c r="I4" s="88" t="s">
        <v>833</v>
      </c>
      <c r="J4" s="451" t="s">
        <v>195</v>
      </c>
      <c r="K4" s="452"/>
      <c r="L4" s="178"/>
    </row>
    <row r="5" spans="2:18" x14ac:dyDescent="0.25">
      <c r="O5" s="211" t="s">
        <v>944</v>
      </c>
      <c r="P5" s="211" t="s">
        <v>1022</v>
      </c>
      <c r="Q5" s="211" t="s">
        <v>885</v>
      </c>
      <c r="R5" s="211" t="s">
        <v>979</v>
      </c>
    </row>
    <row r="6" spans="2:18" ht="15.75" thickBot="1" x14ac:dyDescent="0.3">
      <c r="E6" s="89" t="s">
        <v>827</v>
      </c>
      <c r="G6" s="89"/>
      <c r="H6" s="449" t="s">
        <v>1037</v>
      </c>
      <c r="I6" s="89"/>
      <c r="J6" s="449" t="s">
        <v>1036</v>
      </c>
      <c r="K6" s="449" t="s">
        <v>1035</v>
      </c>
      <c r="O6" s="209"/>
      <c r="P6" s="209"/>
      <c r="Q6" s="209"/>
      <c r="R6" s="209"/>
    </row>
    <row r="7" spans="2:18" ht="17.25" thickTop="1" thickBot="1" x14ac:dyDescent="0.35">
      <c r="B7" s="446" t="s">
        <v>843</v>
      </c>
      <c r="C7" s="446"/>
      <c r="E7" s="78" t="s">
        <v>826</v>
      </c>
      <c r="F7" s="89" t="s">
        <v>828</v>
      </c>
      <c r="H7" s="450"/>
      <c r="J7" s="450"/>
      <c r="K7" s="449"/>
      <c r="M7" s="433" t="s">
        <v>836</v>
      </c>
      <c r="N7" s="434"/>
      <c r="O7" s="209"/>
      <c r="P7" s="209"/>
      <c r="Q7" s="209"/>
      <c r="R7" s="209"/>
    </row>
    <row r="8" spans="2:18" ht="16.5" thickTop="1" thickBot="1" x14ac:dyDescent="0.3">
      <c r="B8" s="436" t="s">
        <v>845</v>
      </c>
      <c r="C8" s="437"/>
      <c r="E8" s="79" t="s">
        <v>787</v>
      </c>
      <c r="F8" s="82">
        <v>365</v>
      </c>
      <c r="G8" s="90" t="s">
        <v>830</v>
      </c>
      <c r="H8" s="91">
        <f t="shared" ref="H8:H13" si="0">IF(F8&gt;0,((F8/HLOOKUP(Multi_Leg_AC,Aircraft_Variables,5,0)+HLOOKUP(Multi_Leg_AC,Aircraft_Variables,6,0))/60),0)</f>
        <v>1.7369565217391305</v>
      </c>
      <c r="I8" s="90" t="s">
        <v>831</v>
      </c>
      <c r="J8" s="168">
        <f t="shared" ref="J8:J17" si="1">IF($F8&gt;0,($H8*HLOOKUP(Multi_Leg_AC,Aircraft_Variables,3,0)),0)</f>
        <v>2779.130434782609</v>
      </c>
      <c r="K8" s="169">
        <f t="shared" ref="K8:K17" si="2">IF($F8&gt;0,($H8*(HLOOKUP(Multi_Leg_AC,Aircraft_Variables,10,0)*(HLOOKUP(Multi_Leg_AC,Aircraft_Variables,12,0)))),0)</f>
        <v>694.78260869565224</v>
      </c>
      <c r="L8" s="92" t="s">
        <v>832</v>
      </c>
      <c r="M8" s="433" t="s">
        <v>837</v>
      </c>
      <c r="N8" s="434"/>
      <c r="O8" s="210">
        <f>Super_Payload-((Super_TO_Fuel*(COUNTIF(H8:$H$17,"&gt;0"))+(Super_PPH*(SUM(H8:$H$17)))))</f>
        <v>5260.391304347826</v>
      </c>
      <c r="P8" s="210">
        <f>SA227_Payload-((SA227_TO_Fuel*(COUNTIF($H8:H$17,"&gt;0"))+(SA227_PPH*(SUM($H8:H$17)))))</f>
        <v>1666.934782608696</v>
      </c>
      <c r="Q8" s="210">
        <f>Volpar_Payload-((Volpar_to_Fuel*(COUNTIF($H8:H$17,"&gt;0"))+(Volpar_PPH*(SUM($H8:H$17)))))</f>
        <v>1456.6782608695653</v>
      </c>
      <c r="R8" s="210">
        <f>B99_Payload-((B99_TO_Fuel*(COUNTIF($H8:$H$17,"&gt;0"))+(B99_PPH*(SUM($H8:$H$17)))))</f>
        <v>946.87826086956557</v>
      </c>
    </row>
    <row r="9" spans="2:18" ht="15.75" thickTop="1" x14ac:dyDescent="0.25">
      <c r="B9" s="76">
        <v>705</v>
      </c>
      <c r="C9" s="93">
        <f>CONVERT(B9,"mi","Nmi")</f>
        <v>612.62825053995675</v>
      </c>
      <c r="E9" s="79" t="s">
        <v>618</v>
      </c>
      <c r="F9" s="83">
        <v>340</v>
      </c>
      <c r="G9" s="94">
        <f>F9+F8</f>
        <v>705</v>
      </c>
      <c r="H9" s="95">
        <f t="shared" si="0"/>
        <v>1.6282608695652174</v>
      </c>
      <c r="I9" s="96">
        <f>H9+H8</f>
        <v>3.3652173913043479</v>
      </c>
      <c r="J9" s="97">
        <f t="shared" si="1"/>
        <v>2605.217391304348</v>
      </c>
      <c r="K9" s="164">
        <f t="shared" si="2"/>
        <v>651.304347826087</v>
      </c>
      <c r="L9" s="98">
        <f>J9+J8+K8+K9</f>
        <v>6730.434782608696</v>
      </c>
      <c r="M9" s="99">
        <f>FLOOR(I9,1)</f>
        <v>3</v>
      </c>
      <c r="N9" s="100">
        <f t="shared" ref="N9:N17" si="3">(I9-FLOOR(I9,1))*60</f>
        <v>21.913043478260875</v>
      </c>
      <c r="O9" s="210">
        <f>Super_Payload-((Super_TO_Fuel*(COUNTIF(H9:$H$17,"&gt;0"))+(Super_PPH*(SUM(H9:$H$17)))))</f>
        <v>6676.782608695652</v>
      </c>
      <c r="P9" s="210">
        <f>SA227_Payload-((SA227_TO_Fuel*(COUNTIF($H9:H$17,"&gt;0"))+(SA227_PPH*(SUM($H9:H$17)))))</f>
        <v>2841.869565217391</v>
      </c>
      <c r="Q9" s="210">
        <f>Volpar_Payload-((Volpar_to_Fuel*(COUNTIF($H9:H$17,"&gt;0"))+(Volpar_PPH*(SUM($H9:H$17)))))</f>
        <v>2445.7565217391302</v>
      </c>
      <c r="R9" s="210">
        <f>B99_Payload-((B99_TO_Fuel*(COUNTIF($H9:$H$17,"&gt;0"))+(B99_PPH*(SUM($H9:$H$17)))))</f>
        <v>1922.5565217391304</v>
      </c>
    </row>
    <row r="10" spans="2:18" x14ac:dyDescent="0.25">
      <c r="B10" s="442" t="s">
        <v>846</v>
      </c>
      <c r="C10" s="443"/>
      <c r="E10" s="80" t="s">
        <v>826</v>
      </c>
      <c r="F10" s="83">
        <v>195</v>
      </c>
      <c r="G10" s="53">
        <f>G9+F10</f>
        <v>900</v>
      </c>
      <c r="H10" s="95">
        <f t="shared" si="0"/>
        <v>0.99782608695652175</v>
      </c>
      <c r="I10" s="101">
        <f t="shared" ref="I10:I17" si="4">H10+I9</f>
        <v>4.3630434782608694</v>
      </c>
      <c r="J10" s="97">
        <f t="shared" si="1"/>
        <v>1596.5217391304348</v>
      </c>
      <c r="K10" s="97">
        <f t="shared" si="2"/>
        <v>399.13043478260869</v>
      </c>
      <c r="L10" s="102">
        <f>L9+J10+K10</f>
        <v>8726.0869565217381</v>
      </c>
      <c r="M10" s="103">
        <f t="shared" ref="M10:M17" si="5">FLOOR(I10,1)</f>
        <v>4</v>
      </c>
      <c r="N10" s="104">
        <f t="shared" si="3"/>
        <v>21.782608695652161</v>
      </c>
      <c r="O10" s="210">
        <f>Super_Payload-((Super_TO_Fuel*(COUNTIF(H10:$H$17,"&gt;0"))+(Super_PPH*(SUM(H10:$H$17)))))</f>
        <v>8021.434782608696</v>
      </c>
      <c r="P10" s="210">
        <f>SA227_Payload-((SA227_TO_Fuel*(COUNTIF($H10:H$17,"&gt;0"))+(SA227_PPH*(SUM($H10:H$17)))))</f>
        <v>3953.7608695652175</v>
      </c>
      <c r="Q10" s="210">
        <f>Volpar_Payload-((Volpar_to_Fuel*(COUNTIF($H10:H$17,"&gt;0"))+(Volpar_PPH*(SUM($H10:H$17)))))</f>
        <v>3380.4869565217391</v>
      </c>
      <c r="R10" s="210">
        <f>B99_Payload-((B99_TO_Fuel*(COUNTIF($H10:$H$17,"&gt;0"))+(B99_PPH*(SUM($H10:$H$17)))))</f>
        <v>2843.8869565217392</v>
      </c>
    </row>
    <row r="11" spans="2:18" ht="15.75" thickBot="1" x14ac:dyDescent="0.3">
      <c r="B11" s="77"/>
      <c r="C11" s="105"/>
      <c r="E11" s="80"/>
      <c r="F11" s="83"/>
      <c r="G11" s="53">
        <f>G10+F11</f>
        <v>900</v>
      </c>
      <c r="H11" s="95">
        <f t="shared" si="0"/>
        <v>0</v>
      </c>
      <c r="I11" s="101">
        <f t="shared" si="4"/>
        <v>4.3630434782608694</v>
      </c>
      <c r="J11" s="97">
        <f t="shared" si="1"/>
        <v>0</v>
      </c>
      <c r="K11" s="97">
        <f t="shared" si="2"/>
        <v>0</v>
      </c>
      <c r="L11" s="102">
        <f t="shared" ref="L11:L17" si="6">L10+J11+K11</f>
        <v>8726.0869565217381</v>
      </c>
      <c r="M11" s="103">
        <f t="shared" si="5"/>
        <v>4</v>
      </c>
      <c r="N11" s="104">
        <f t="shared" si="3"/>
        <v>21.782608695652161</v>
      </c>
      <c r="O11" s="210">
        <f>Super_Payload-((Super_TO_Fuel*(COUNTIF(H11:$H$17,"&gt;0"))+(Super_PPH*(SUM(H11:$H$17)))))</f>
        <v>8950</v>
      </c>
      <c r="P11" s="210"/>
      <c r="Q11" s="210">
        <f>Volpar_Payload-((Volpar_to_Fuel*(COUNTIF($H11:H$17,"&gt;0"))+(Volpar_PPH*(SUM($H11:H$17)))))</f>
        <v>4000</v>
      </c>
      <c r="R11" s="210">
        <f>B99_Payload-((B99_TO_Fuel*(COUNTIF($H11:$H$17,"&gt;0"))+(B99_PPH*(SUM($H11:$H$17)))))</f>
        <v>3450</v>
      </c>
    </row>
    <row r="12" spans="2:18" x14ac:dyDescent="0.25">
      <c r="E12" s="80"/>
      <c r="F12" s="83"/>
      <c r="G12" s="53">
        <f t="shared" ref="G12:G17" si="7">F12+G11</f>
        <v>900</v>
      </c>
      <c r="H12" s="95">
        <f t="shared" si="0"/>
        <v>0</v>
      </c>
      <c r="I12" s="101">
        <f t="shared" si="4"/>
        <v>4.3630434782608694</v>
      </c>
      <c r="J12" s="97">
        <f t="shared" si="1"/>
        <v>0</v>
      </c>
      <c r="K12" s="97">
        <f t="shared" si="2"/>
        <v>0</v>
      </c>
      <c r="L12" s="102">
        <f t="shared" si="6"/>
        <v>8726.0869565217381</v>
      </c>
      <c r="M12" s="103">
        <f t="shared" si="5"/>
        <v>4</v>
      </c>
      <c r="N12" s="104">
        <f t="shared" si="3"/>
        <v>21.782608695652161</v>
      </c>
      <c r="O12" s="210">
        <f>Super_Payload-((Super_TO_Fuel*(COUNTIF(H12:$H$17,"&gt;0"))+(Super_PPH*(SUM(H12:$H$17)))))</f>
        <v>8950</v>
      </c>
      <c r="P12" s="210"/>
      <c r="Q12" s="210">
        <f>Volpar_Payload-((Volpar_to_Fuel*(COUNTIF($H12:H$17,"&gt;0"))+(Volpar_PPH*(SUM($H12:H$17)))))</f>
        <v>4000</v>
      </c>
      <c r="R12" s="210">
        <f>B99_Payload-((B99_TO_Fuel*(COUNTIF($H12:$H$17,"&gt;0"))+(B99_PPH*(SUM($H12:$H$17)))))</f>
        <v>3450</v>
      </c>
    </row>
    <row r="13" spans="2:18" x14ac:dyDescent="0.25">
      <c r="E13" s="80"/>
      <c r="F13" s="83"/>
      <c r="G13" s="53">
        <f t="shared" si="7"/>
        <v>900</v>
      </c>
      <c r="H13" s="95">
        <f t="shared" si="0"/>
        <v>0</v>
      </c>
      <c r="I13" s="101">
        <f t="shared" si="4"/>
        <v>4.3630434782608694</v>
      </c>
      <c r="J13" s="97">
        <f t="shared" si="1"/>
        <v>0</v>
      </c>
      <c r="K13" s="97">
        <f t="shared" si="2"/>
        <v>0</v>
      </c>
      <c r="L13" s="102">
        <f t="shared" si="6"/>
        <v>8726.0869565217381</v>
      </c>
      <c r="M13" s="103">
        <f t="shared" si="5"/>
        <v>4</v>
      </c>
      <c r="N13" s="104">
        <f t="shared" si="3"/>
        <v>21.782608695652161</v>
      </c>
      <c r="O13" s="210">
        <f>Super_Payload-((Super_TO_Fuel*(COUNTIF(H13:$H$17,"&gt;0"))+(Super_PPH*(SUM(H13:$H$17)))))</f>
        <v>8950</v>
      </c>
      <c r="P13" s="210"/>
      <c r="Q13" s="210">
        <f>Volpar_Payload-((Volpar_to_Fuel*(COUNTIF($H13:H$17,"&gt;0"))+(Volpar_PPH*(SUM($H13:H$17)))))</f>
        <v>4000</v>
      </c>
      <c r="R13" s="210">
        <f>B99_Payload-((B99_TO_Fuel*(COUNTIF($H13:$H$17,"&gt;0"))+(B99_PPH*(SUM($H13:$H$17)))))</f>
        <v>3450</v>
      </c>
    </row>
    <row r="14" spans="2:18" x14ac:dyDescent="0.25">
      <c r="E14" s="80"/>
      <c r="F14" s="83"/>
      <c r="G14" s="53">
        <f t="shared" si="7"/>
        <v>900</v>
      </c>
      <c r="H14" s="95">
        <f>IF(F14&gt;0,((F14/HLOOKUP(Multi_Leg_AC,Aircraft_Variables,5,0)+HLOOKUP(Multi_Leg_AC,Aircraft_Variables,6,FALSE))/60),0)</f>
        <v>0</v>
      </c>
      <c r="I14" s="101">
        <f t="shared" si="4"/>
        <v>4.3630434782608694</v>
      </c>
      <c r="J14" s="97">
        <f t="shared" si="1"/>
        <v>0</v>
      </c>
      <c r="K14" s="97">
        <f t="shared" si="2"/>
        <v>0</v>
      </c>
      <c r="L14" s="102">
        <f t="shared" si="6"/>
        <v>8726.0869565217381</v>
      </c>
      <c r="M14" s="103">
        <f t="shared" si="5"/>
        <v>4</v>
      </c>
      <c r="N14" s="104">
        <f t="shared" si="3"/>
        <v>21.782608695652161</v>
      </c>
      <c r="O14" s="210">
        <f>Super_Payload-((Super_TO_Fuel*(COUNTIF(H14:$H$17,"&gt;0"))+(Super_PPH*(SUM(H14:$H$17)))))</f>
        <v>8950</v>
      </c>
      <c r="P14" s="210"/>
      <c r="Q14" s="210">
        <f>Volpar_Payload-((Volpar_to_Fuel*(COUNTIF($H14:H$17,"&gt;0"))+(Volpar_PPH*(SUM($H14:H$17)))))</f>
        <v>4000</v>
      </c>
      <c r="R14" s="210">
        <f>B99_Payload-((B99_TO_Fuel*(COUNTIF($H14:$H$17,"&gt;0"))+(B99_PPH*(SUM($H14:$H$17)))))</f>
        <v>3450</v>
      </c>
    </row>
    <row r="15" spans="2:18" x14ac:dyDescent="0.25">
      <c r="E15" s="80"/>
      <c r="F15" s="83"/>
      <c r="G15" s="53">
        <f t="shared" si="7"/>
        <v>900</v>
      </c>
      <c r="H15" s="95">
        <f>IF(F15&gt;0,((F15/HLOOKUP(Multi_Leg_AC,Aircraft_Variables,5,0)+HLOOKUP(Multi_Leg_AC,Aircraft_Variables,6,0))/60),0)</f>
        <v>0</v>
      </c>
      <c r="I15" s="101">
        <f t="shared" si="4"/>
        <v>4.3630434782608694</v>
      </c>
      <c r="J15" s="97">
        <f t="shared" si="1"/>
        <v>0</v>
      </c>
      <c r="K15" s="97">
        <f t="shared" si="2"/>
        <v>0</v>
      </c>
      <c r="L15" s="102">
        <f t="shared" si="6"/>
        <v>8726.0869565217381</v>
      </c>
      <c r="M15" s="103">
        <f t="shared" si="5"/>
        <v>4</v>
      </c>
      <c r="N15" s="104">
        <f t="shared" si="3"/>
        <v>21.782608695652161</v>
      </c>
      <c r="O15" s="210">
        <f>Super_Payload-((Super_TO_Fuel*(COUNTIF(H15:$H$17,"&gt;0"))+(Super_PPH*(SUM(H15:$H$17)))))</f>
        <v>8950</v>
      </c>
      <c r="P15" s="210"/>
      <c r="Q15" s="210">
        <f>Volpar_Payload-((Volpar_to_Fuel*(COUNTIF($H15:H$17,"&gt;0"))+(Volpar_PPH*(SUM($H15:H$17)))))</f>
        <v>4000</v>
      </c>
      <c r="R15" s="210">
        <f>B99_Payload-((B99_TO_Fuel*(COUNTIF($H15:$H$17,"&gt;0"))+(B99_PPH*(SUM($H15:$H$17)))))</f>
        <v>3450</v>
      </c>
    </row>
    <row r="16" spans="2:18" x14ac:dyDescent="0.25">
      <c r="E16" s="80"/>
      <c r="F16" s="83"/>
      <c r="G16" s="53">
        <f t="shared" si="7"/>
        <v>900</v>
      </c>
      <c r="H16" s="95">
        <f>IF(F16&gt;0,((F16/HLOOKUP(Multi_Leg_AC,Aircraft_Variables,5,0)+HLOOKUP(Multi_Leg_AC,Aircraft_Variables,6,0))/60),0)</f>
        <v>0</v>
      </c>
      <c r="I16" s="101">
        <f t="shared" si="4"/>
        <v>4.3630434782608694</v>
      </c>
      <c r="J16" s="97">
        <f t="shared" si="1"/>
        <v>0</v>
      </c>
      <c r="K16" s="97">
        <f t="shared" si="2"/>
        <v>0</v>
      </c>
      <c r="L16" s="102">
        <f t="shared" si="6"/>
        <v>8726.0869565217381</v>
      </c>
      <c r="M16" s="103">
        <f t="shared" si="5"/>
        <v>4</v>
      </c>
      <c r="N16" s="104">
        <f t="shared" si="3"/>
        <v>21.782608695652161</v>
      </c>
      <c r="O16" s="210">
        <f>Super_Payload-((Super_TO_Fuel*(COUNTIF(H16:$H$17,"&gt;0"))+(Super_PPH*(SUM(H16:$H$17)))))</f>
        <v>8950</v>
      </c>
      <c r="P16" s="210"/>
      <c r="Q16" s="210">
        <f>Volpar_Payload-((Volpar_to_Fuel*(COUNTIF($H16:H$17,"&gt;0"))+(Volpar_PPH*(SUM($H16:H$17)))))</f>
        <v>4000</v>
      </c>
      <c r="R16" s="210">
        <f>B99_Payload-((B99_TO_Fuel*(COUNTIF($H16:$H$17,"&gt;0"))+(B99_PPH*(SUM($H16:$H$17)))))</f>
        <v>3450</v>
      </c>
    </row>
    <row r="17" spans="4:20" ht="15.75" thickBot="1" x14ac:dyDescent="0.3">
      <c r="E17" s="81"/>
      <c r="F17" s="84"/>
      <c r="G17" s="106">
        <f t="shared" si="7"/>
        <v>900</v>
      </c>
      <c r="H17" s="174">
        <f>IF(F17&gt;0,((F17/HLOOKUP(Multi_Leg_AC,Aircraft_Variables,5,0)+HLOOKUP(Multi_Leg_AC,Aircraft_Variables,6,0))/60),0)</f>
        <v>0</v>
      </c>
      <c r="I17" s="107">
        <f t="shared" si="4"/>
        <v>4.3630434782608694</v>
      </c>
      <c r="J17" s="108">
        <f t="shared" si="1"/>
        <v>0</v>
      </c>
      <c r="K17" s="108">
        <f t="shared" si="2"/>
        <v>0</v>
      </c>
      <c r="L17" s="109">
        <f t="shared" si="6"/>
        <v>8726.0869565217381</v>
      </c>
      <c r="M17" s="110">
        <f t="shared" si="5"/>
        <v>4</v>
      </c>
      <c r="N17" s="111">
        <f t="shared" si="3"/>
        <v>21.782608695652161</v>
      </c>
      <c r="O17" s="210">
        <f>Super_Payload-((Super_TO_Fuel*(COUNTIF(H17:$H$17,"&gt;0"))+(Super_PPH*(SUM(H17:$H$17)))))</f>
        <v>8950</v>
      </c>
      <c r="P17" s="210"/>
      <c r="Q17" s="210">
        <f>Volpar_Payload-((Volpar_to_Fuel*(COUNTIF($H17:H$17,"&gt;0"))+(Volpar_PPH*(SUM($H17:H$17)))))</f>
        <v>4000</v>
      </c>
      <c r="R17" s="210">
        <f>B99_Payload-((B99_TO_Fuel*(COUNTIF($H17:$H$17,"&gt;0"))+(B99_PPH*(SUM($H17:$H$17)))))</f>
        <v>3450</v>
      </c>
      <c r="T17" s="125"/>
    </row>
    <row r="18" spans="4:20" ht="15.75" thickTop="1" x14ac:dyDescent="0.25">
      <c r="H18" s="88" t="s">
        <v>1039</v>
      </c>
      <c r="I18" s="175">
        <f>I17</f>
        <v>4.3630434782608694</v>
      </c>
      <c r="J18" s="181">
        <f>SUM(J8:J17)</f>
        <v>6980.8695652173919</v>
      </c>
      <c r="K18" s="216">
        <f>SUM(K8:K17)</f>
        <v>1745.217391304348</v>
      </c>
      <c r="L18" s="440" t="s">
        <v>848</v>
      </c>
      <c r="M18" s="441"/>
      <c r="N18" s="441"/>
      <c r="O18" s="441"/>
      <c r="P18" s="441"/>
      <c r="Q18" s="441"/>
    </row>
    <row r="19" spans="4:20" ht="22.5" customHeight="1" thickBot="1" x14ac:dyDescent="0.3">
      <c r="E19" s="444" t="s">
        <v>1090</v>
      </c>
      <c r="F19" s="445"/>
      <c r="G19" s="445"/>
      <c r="L19" s="441"/>
      <c r="M19" s="441"/>
      <c r="N19" s="441"/>
      <c r="O19" s="441"/>
      <c r="P19" s="441"/>
      <c r="Q19" s="441"/>
    </row>
    <row r="20" spans="4:20" ht="15.95" customHeight="1" thickBot="1" x14ac:dyDescent="0.3">
      <c r="E20" s="445"/>
      <c r="F20" s="445"/>
      <c r="G20" s="445"/>
      <c r="J20" s="177"/>
      <c r="K20" s="112" t="s">
        <v>1038</v>
      </c>
      <c r="L20" s="179">
        <f>J18</f>
        <v>6980.8695652173919</v>
      </c>
      <c r="M20" s="438">
        <f>I18</f>
        <v>4.3630434782608694</v>
      </c>
      <c r="N20" s="439"/>
      <c r="O20" s="116" t="s">
        <v>847</v>
      </c>
      <c r="P20" s="117"/>
      <c r="Q20" s="118"/>
    </row>
    <row r="21" spans="4:20" ht="16.5" thickBot="1" x14ac:dyDescent="0.3">
      <c r="E21" s="445"/>
      <c r="F21" s="445"/>
      <c r="G21" s="445"/>
      <c r="J21" s="112" t="s">
        <v>1040</v>
      </c>
      <c r="K21" s="182">
        <v>1</v>
      </c>
      <c r="L21" s="176">
        <f>K21*HLOOKUP(Multi_Leg_AC,Aircraft_Variables,13,0)</f>
        <v>38.700000000000003</v>
      </c>
      <c r="M21" s="170"/>
      <c r="N21" s="171"/>
      <c r="O21" s="172"/>
      <c r="P21" s="173"/>
      <c r="Q21" s="173"/>
    </row>
    <row r="22" spans="4:20" ht="15.75" x14ac:dyDescent="0.25">
      <c r="E22" s="445"/>
      <c r="F22" s="445"/>
      <c r="G22" s="445"/>
      <c r="J22" s="112"/>
      <c r="K22" s="112" t="s">
        <v>1041</v>
      </c>
      <c r="L22" s="179">
        <f>L20+L21</f>
        <v>7019.5695652173918</v>
      </c>
      <c r="M22" s="170"/>
      <c r="N22" s="171"/>
      <c r="O22" s="172"/>
      <c r="P22" s="173"/>
      <c r="Q22" s="173"/>
    </row>
    <row r="23" spans="4:20" ht="16.5" thickBot="1" x14ac:dyDescent="0.3">
      <c r="J23" s="177"/>
      <c r="K23" s="112" t="s">
        <v>934</v>
      </c>
      <c r="L23" s="176">
        <f>K18</f>
        <v>1745.217391304348</v>
      </c>
      <c r="M23" s="170"/>
      <c r="N23" s="171"/>
      <c r="O23" s="184"/>
      <c r="P23" s="173"/>
    </row>
    <row r="24" spans="4:20" ht="15.75" x14ac:dyDescent="0.25">
      <c r="J24" s="177"/>
      <c r="K24" s="112" t="s">
        <v>1056</v>
      </c>
      <c r="L24" s="185">
        <f>L22+L23</f>
        <v>8764.7869565217406</v>
      </c>
      <c r="M24" s="170"/>
      <c r="N24" s="171"/>
      <c r="O24" s="184"/>
      <c r="P24" s="173"/>
    </row>
    <row r="25" spans="4:20" ht="16.5" thickBot="1" x14ac:dyDescent="0.3">
      <c r="J25" s="177"/>
      <c r="K25" s="112" t="s">
        <v>841</v>
      </c>
      <c r="L25" s="176">
        <f>L24*(VLOOKUP(J4,Taxes,2)-1)</f>
        <v>657.35902173913018</v>
      </c>
      <c r="M25" s="115" t="str">
        <f>IF(J4="PAX TAX","&lt;-- rate = 7.5%","&lt;-- rate = 6.25%")</f>
        <v>&lt;-- rate = 7.5%</v>
      </c>
    </row>
    <row r="26" spans="4:20" ht="16.5" thickBot="1" x14ac:dyDescent="0.3">
      <c r="J26" s="177"/>
      <c r="K26" s="112" t="s">
        <v>842</v>
      </c>
      <c r="L26" s="180">
        <f>L22+L23+L25</f>
        <v>9422.1459782608708</v>
      </c>
      <c r="N26" s="431"/>
      <c r="O26" s="431"/>
      <c r="P26" s="125"/>
    </row>
    <row r="27" spans="4:20" x14ac:dyDescent="0.25">
      <c r="L27" s="315" t="s">
        <v>1129</v>
      </c>
      <c r="M27" s="314" t="s">
        <v>1076</v>
      </c>
      <c r="N27" s="314"/>
    </row>
    <row r="28" spans="4:20" x14ac:dyDescent="0.25">
      <c r="D28" t="s">
        <v>838</v>
      </c>
    </row>
    <row r="29" spans="4:20" x14ac:dyDescent="0.25">
      <c r="D29" t="s">
        <v>839</v>
      </c>
    </row>
    <row r="30" spans="4:20" x14ac:dyDescent="0.25">
      <c r="D30" s="113" t="s">
        <v>844</v>
      </c>
    </row>
    <row r="31" spans="4:20" x14ac:dyDescent="0.25">
      <c r="D31" s="113" t="s">
        <v>931</v>
      </c>
    </row>
    <row r="32" spans="4:20" x14ac:dyDescent="0.25">
      <c r="D32" t="s">
        <v>835</v>
      </c>
    </row>
    <row r="33" spans="4:23" x14ac:dyDescent="0.25">
      <c r="D33" t="s">
        <v>834</v>
      </c>
    </row>
    <row r="36" spans="4:23" x14ac:dyDescent="0.25">
      <c r="V36" s="264"/>
      <c r="W36" s="264"/>
    </row>
  </sheetData>
  <mergeCells count="16">
    <mergeCell ref="N26:O26"/>
    <mergeCell ref="H2:I2"/>
    <mergeCell ref="M7:N7"/>
    <mergeCell ref="F3:G3"/>
    <mergeCell ref="B8:C8"/>
    <mergeCell ref="M20:N20"/>
    <mergeCell ref="L18:Q19"/>
    <mergeCell ref="B10:C10"/>
    <mergeCell ref="M8:N8"/>
    <mergeCell ref="E19:G22"/>
    <mergeCell ref="B7:C7"/>
    <mergeCell ref="F4:G4"/>
    <mergeCell ref="K6:K7"/>
    <mergeCell ref="J6:J7"/>
    <mergeCell ref="H6:H7"/>
    <mergeCell ref="J4:K4"/>
  </mergeCells>
  <conditionalFormatting sqref="O5:O17">
    <cfRule type="expression" dxfId="3" priority="4">
      <formula>$F$4="Super DC-3"</formula>
    </cfRule>
  </conditionalFormatting>
  <conditionalFormatting sqref="P5:P17">
    <cfRule type="expression" dxfId="2" priority="3">
      <formula>$F$4="Metro III"</formula>
    </cfRule>
  </conditionalFormatting>
  <conditionalFormatting sqref="Q5:Q17">
    <cfRule type="expression" dxfId="1" priority="2">
      <formula>$F$4="Volpar"</formula>
    </cfRule>
  </conditionalFormatting>
  <conditionalFormatting sqref="R5:R17">
    <cfRule type="expression" dxfId="0" priority="1">
      <formula>$F$4="Beech 99"</formula>
    </cfRule>
  </conditionalFormatting>
  <dataValidations xWindow="478" yWindow="311" count="1">
    <dataValidation type="list" allowBlank="1" showInputMessage="1" showErrorMessage="1" promptTitle="Tax" prompt="Pick Tax Type_x000a_" sqref="J4" xr:uid="{00000000-0002-0000-0200-000001000000}">
      <formula1>Tax_Type</formula1>
    </dataValidation>
  </dataValidations>
  <pageMargins left="0.7" right="0.7" top="0.75" bottom="0.75" header="0.3" footer="0.3"/>
  <pageSetup scale="86" orientation="landscape" horizontalDpi="4294967293" verticalDpi="4294967293" r:id="rId1"/>
  <drawing r:id="rId2"/>
  <extLst>
    <ext xmlns:x14="http://schemas.microsoft.com/office/spreadsheetml/2009/9/main" uri="{CCE6A557-97BC-4b89-ADB6-D9C93CAAB3DF}">
      <x14:dataValidations xmlns:xm="http://schemas.microsoft.com/office/excel/2006/main" xWindow="478" yWindow="311" count="1">
        <x14:dataValidation type="list" allowBlank="1" showInputMessage="1" showErrorMessage="1" promptTitle="Aircraft" prompt="Choose aircraft for quote" xr:uid="{00000000-0002-0000-0200-000000000000}">
          <x14:formula1>
            <xm:f>'Aircraft Variables'!$B$8:$I$8</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showGridLines="0" zoomScale="70" zoomScaleNormal="70" workbookViewId="0">
      <selection activeCell="O13" sqref="O13"/>
    </sheetView>
  </sheetViews>
  <sheetFormatPr defaultRowHeight="15" x14ac:dyDescent="0.25"/>
  <cols>
    <col min="1" max="1" width="32.140625" style="3" customWidth="1"/>
    <col min="2" max="2" width="13.28515625" customWidth="1"/>
    <col min="3" max="3" width="19.28515625" customWidth="1"/>
    <col min="4" max="4" width="12.85546875" customWidth="1"/>
    <col min="5" max="5" width="14.7109375" customWidth="1"/>
    <col min="6" max="6" width="13.42578125" customWidth="1"/>
    <col min="7" max="7" width="15.7109375" customWidth="1"/>
    <col min="8" max="8" width="13.85546875" customWidth="1"/>
    <col min="9" max="9" width="13.42578125" customWidth="1"/>
    <col min="10" max="10" width="14" customWidth="1"/>
    <col min="11" max="11" width="13.42578125" customWidth="1"/>
    <col min="12" max="12" width="13" bestFit="1" customWidth="1"/>
    <col min="13" max="13" width="15.5703125" customWidth="1"/>
    <col min="14" max="14" width="15" customWidth="1"/>
    <col min="15" max="15" width="13.42578125" bestFit="1" customWidth="1"/>
    <col min="16" max="16" width="14.140625" customWidth="1"/>
    <col min="17" max="17" width="16.42578125" customWidth="1"/>
    <col min="18" max="18" width="18.28515625" customWidth="1"/>
    <col min="19" max="19" width="15.85546875" customWidth="1"/>
  </cols>
  <sheetData>
    <row r="1" spans="1:19" x14ac:dyDescent="0.25">
      <c r="I1" s="10"/>
      <c r="J1" s="10"/>
      <c r="K1" s="225" t="s">
        <v>979</v>
      </c>
      <c r="L1" s="225" t="s">
        <v>1082</v>
      </c>
      <c r="M1" s="225" t="s">
        <v>1022</v>
      </c>
      <c r="N1" s="225" t="s">
        <v>944</v>
      </c>
      <c r="O1" s="225" t="s">
        <v>885</v>
      </c>
      <c r="P1" s="225" t="s">
        <v>1095</v>
      </c>
      <c r="Q1" s="225" t="s">
        <v>1124</v>
      </c>
      <c r="R1" s="225" t="s">
        <v>1132</v>
      </c>
    </row>
    <row r="2" spans="1:19" ht="15.75" thickBot="1" x14ac:dyDescent="0.3">
      <c r="I2" s="10"/>
      <c r="J2" s="212" t="s">
        <v>1083</v>
      </c>
      <c r="K2" s="316">
        <v>1525</v>
      </c>
      <c r="L2" s="316">
        <v>1850</v>
      </c>
      <c r="M2" s="316">
        <v>2275</v>
      </c>
      <c r="N2" s="316">
        <v>2650</v>
      </c>
      <c r="O2" s="316">
        <v>1700</v>
      </c>
      <c r="P2" s="316">
        <v>1100</v>
      </c>
      <c r="Q2" s="316">
        <v>2275</v>
      </c>
      <c r="R2" s="316"/>
    </row>
    <row r="3" spans="1:19" ht="18.75" thickTop="1" thickBot="1" x14ac:dyDescent="0.4">
      <c r="H3" s="319" t="s">
        <v>1131</v>
      </c>
      <c r="I3" s="317"/>
      <c r="J3" s="318" t="s">
        <v>1096</v>
      </c>
      <c r="K3" s="320">
        <v>0.03</v>
      </c>
      <c r="L3" s="320">
        <v>8.1079999999999999E-2</v>
      </c>
      <c r="M3" s="320">
        <v>-0.12088</v>
      </c>
      <c r="N3" s="320">
        <v>0.03</v>
      </c>
      <c r="O3" s="320">
        <v>0.03</v>
      </c>
      <c r="P3" s="320">
        <v>9.0899999999999995E-2</v>
      </c>
      <c r="Q3" s="321">
        <v>0.1</v>
      </c>
      <c r="R3" s="321">
        <v>0.1</v>
      </c>
    </row>
    <row r="4" spans="1:19" ht="16.5" thickTop="1" thickBot="1" x14ac:dyDescent="0.3">
      <c r="J4" t="s">
        <v>1098</v>
      </c>
      <c r="K4" s="143">
        <f>K3*K2</f>
        <v>45.75</v>
      </c>
      <c r="L4" s="143">
        <f t="shared" ref="L4:P4" si="0">L3*L2</f>
        <v>149.99799999999999</v>
      </c>
      <c r="M4" s="143">
        <f t="shared" si="0"/>
        <v>-275.00200000000001</v>
      </c>
      <c r="N4" s="143">
        <f t="shared" si="0"/>
        <v>79.5</v>
      </c>
      <c r="O4" s="143">
        <f t="shared" si="0"/>
        <v>51</v>
      </c>
      <c r="P4" s="143">
        <f t="shared" si="0"/>
        <v>99.99</v>
      </c>
      <c r="Q4" s="143">
        <f t="shared" ref="Q4:R4" si="1">Q3*Q2</f>
        <v>227.5</v>
      </c>
      <c r="R4" s="143">
        <f t="shared" si="1"/>
        <v>0</v>
      </c>
    </row>
    <row r="5" spans="1:19" s="275" customFormat="1" ht="23.25" customHeight="1" thickBot="1" x14ac:dyDescent="0.3">
      <c r="A5" s="282"/>
      <c r="I5" s="284"/>
      <c r="J5" s="283" t="s">
        <v>1097</v>
      </c>
      <c r="K5" s="285">
        <f>K2+K4</f>
        <v>1570.75</v>
      </c>
      <c r="L5" s="285">
        <f t="shared" ref="L5:P5" si="2">L2+L4</f>
        <v>1999.998</v>
      </c>
      <c r="M5" s="285">
        <f t="shared" si="2"/>
        <v>1999.998</v>
      </c>
      <c r="N5" s="285">
        <f t="shared" si="2"/>
        <v>2729.5</v>
      </c>
      <c r="O5" s="285">
        <f t="shared" si="2"/>
        <v>1751</v>
      </c>
      <c r="P5" s="286">
        <f t="shared" si="2"/>
        <v>1199.99</v>
      </c>
      <c r="Q5" s="285">
        <f t="shared" ref="Q5" si="3">Q2+Q4</f>
        <v>2502.5</v>
      </c>
      <c r="R5" s="285">
        <v>2890</v>
      </c>
    </row>
    <row r="6" spans="1:19" ht="15.75" thickBot="1" x14ac:dyDescent="0.3">
      <c r="J6" s="139" t="s">
        <v>1084</v>
      </c>
      <c r="K6" s="279">
        <f>(B99_Tax_Gal*Jet_Cost)</f>
        <v>300</v>
      </c>
      <c r="L6" s="279">
        <f>(B200_Tax_Gal*Jet_Cost)</f>
        <v>380</v>
      </c>
      <c r="M6" s="280">
        <f>SA227_Tax_Gal*Jet_Cost</f>
        <v>400</v>
      </c>
      <c r="N6" s="281">
        <f>(Super_Tax_gal*Avgas_Cost)</f>
        <v>600</v>
      </c>
      <c r="O6" s="280">
        <f>(D17*Jet_Cost)</f>
        <v>328</v>
      </c>
      <c r="P6" s="280">
        <f>(Volpar_Tax_Gal*Jet_Cost)</f>
        <v>328</v>
      </c>
      <c r="Q6" s="280">
        <f>SA227_Tax_Gal*Jet_Cost</f>
        <v>400</v>
      </c>
      <c r="R6" s="280" cm="1">
        <f t="array" ref="R6">SD330_Tax_Gal*Jet_Cost</f>
        <v>388</v>
      </c>
    </row>
    <row r="7" spans="1:19" ht="16.5" thickTop="1" thickBot="1" x14ac:dyDescent="0.3">
      <c r="J7" s="88" t="s">
        <v>1085</v>
      </c>
      <c r="K7" s="144">
        <f>K5-K6</f>
        <v>1270.75</v>
      </c>
      <c r="L7" s="144">
        <f t="shared" ref="L7:R7" si="4">L5-L6</f>
        <v>1619.998</v>
      </c>
      <c r="M7" s="144">
        <f t="shared" si="4"/>
        <v>1599.998</v>
      </c>
      <c r="N7" s="144">
        <f t="shared" si="4"/>
        <v>2129.5</v>
      </c>
      <c r="O7" s="144">
        <f t="shared" si="4"/>
        <v>1423</v>
      </c>
      <c r="P7" s="144">
        <f t="shared" si="4"/>
        <v>871.99</v>
      </c>
      <c r="Q7" s="144">
        <f t="shared" si="4"/>
        <v>2102.5</v>
      </c>
      <c r="R7" s="144">
        <f t="shared" si="4"/>
        <v>2502</v>
      </c>
    </row>
    <row r="8" spans="1:19" ht="18.75" thickTop="1" thickBot="1" x14ac:dyDescent="0.4">
      <c r="B8" s="7" t="s">
        <v>1095</v>
      </c>
      <c r="C8" s="7" t="s">
        <v>1</v>
      </c>
      <c r="D8" s="7" t="s">
        <v>885</v>
      </c>
      <c r="E8" s="7" t="s">
        <v>1093</v>
      </c>
      <c r="F8" s="7" t="s">
        <v>2</v>
      </c>
      <c r="G8" s="7" t="s">
        <v>1124</v>
      </c>
      <c r="H8" s="7" t="s">
        <v>1133</v>
      </c>
      <c r="I8" s="7" t="s">
        <v>3</v>
      </c>
      <c r="J8" s="7" t="s">
        <v>11</v>
      </c>
      <c r="M8" s="155"/>
      <c r="N8" s="125"/>
      <c r="O8" s="125"/>
      <c r="P8" s="125"/>
      <c r="Q8" s="125"/>
      <c r="R8" s="125"/>
      <c r="S8" s="183"/>
    </row>
    <row r="9" spans="1:19" ht="15.75" x14ac:dyDescent="0.25">
      <c r="A9" s="3" t="s">
        <v>5</v>
      </c>
      <c r="B9" s="226">
        <f>ROUNDUP(P5,0)</f>
        <v>1200</v>
      </c>
      <c r="C9" s="159">
        <f>ROUNDUP(K5,0)</f>
        <v>1571</v>
      </c>
      <c r="D9" s="159">
        <f>ROUNDUP(O5,0)</f>
        <v>1751</v>
      </c>
      <c r="E9" s="159">
        <f>ROUNDUP(L5,0)</f>
        <v>2000</v>
      </c>
      <c r="F9" s="159">
        <f>ROUNDUP(M5,0)</f>
        <v>2000</v>
      </c>
      <c r="G9" s="159">
        <f>ROUNDUP(Q5,0)</f>
        <v>2503</v>
      </c>
      <c r="H9" s="159">
        <f>ROUNDUP(R5,0)</f>
        <v>2890</v>
      </c>
      <c r="I9" s="159">
        <f>ROUNDUP(N5,0)</f>
        <v>2730</v>
      </c>
      <c r="J9" s="464" t="s">
        <v>1099</v>
      </c>
      <c r="K9" s="466" t="s">
        <v>1100</v>
      </c>
      <c r="L9" s="467"/>
      <c r="M9" s="468"/>
      <c r="N9" s="161"/>
      <c r="O9" s="161"/>
      <c r="P9" s="161"/>
      <c r="Q9" s="161"/>
      <c r="R9" s="161"/>
    </row>
    <row r="10" spans="1:19" ht="15.75" thickBot="1" x14ac:dyDescent="0.3">
      <c r="A10" s="3" t="s">
        <v>879</v>
      </c>
      <c r="B10" s="227">
        <f>ROUNDUP(P7,0)</f>
        <v>872</v>
      </c>
      <c r="C10" s="160">
        <f>ROUNDUP(K7,0)</f>
        <v>1271</v>
      </c>
      <c r="D10" s="160">
        <f>ROUNDUP(O7,0)</f>
        <v>1423</v>
      </c>
      <c r="E10" s="160">
        <f>ROUNDUP(L7,0)</f>
        <v>1620</v>
      </c>
      <c r="F10" s="160">
        <f>ROUNDUP(M7,0)</f>
        <v>1600</v>
      </c>
      <c r="G10" s="160">
        <f>ROUNDUP(Q7,0)</f>
        <v>2103</v>
      </c>
      <c r="H10" s="160">
        <f>ROUNDUP(R7,0)</f>
        <v>2502</v>
      </c>
      <c r="I10" s="160">
        <f>ROUNDUP(N7,0)</f>
        <v>2130</v>
      </c>
      <c r="J10" s="465"/>
      <c r="K10" s="469"/>
      <c r="L10" s="469"/>
      <c r="M10" s="470"/>
    </row>
    <row r="11" spans="1:19" x14ac:dyDescent="0.25">
      <c r="A11" s="3" t="s">
        <v>6</v>
      </c>
      <c r="B11" s="157">
        <v>160</v>
      </c>
      <c r="C11" s="156">
        <v>175</v>
      </c>
      <c r="D11" s="157">
        <v>190</v>
      </c>
      <c r="E11" s="157">
        <v>225</v>
      </c>
      <c r="F11" s="157">
        <v>230</v>
      </c>
      <c r="G11" s="157">
        <v>230</v>
      </c>
      <c r="H11" s="157">
        <v>155</v>
      </c>
      <c r="I11" s="158">
        <v>160</v>
      </c>
      <c r="J11" s="124"/>
      <c r="N11" s="151"/>
      <c r="O11" s="151"/>
      <c r="P11" s="151"/>
      <c r="Q11" s="151"/>
      <c r="R11" s="151"/>
    </row>
    <row r="12" spans="1:19" x14ac:dyDescent="0.25">
      <c r="A12" s="3" t="s">
        <v>17</v>
      </c>
      <c r="B12" s="13">
        <f t="shared" ref="B12:I12" si="5">B11/60</f>
        <v>2.6666666666666665</v>
      </c>
      <c r="C12" s="13">
        <f t="shared" si="5"/>
        <v>2.9166666666666665</v>
      </c>
      <c r="D12" s="15">
        <f>D11/60</f>
        <v>3.1666666666666665</v>
      </c>
      <c r="E12" s="15">
        <v>3.8332999999999999</v>
      </c>
      <c r="F12" s="15">
        <f t="shared" ref="F12" si="6">F11/60</f>
        <v>3.8333333333333335</v>
      </c>
      <c r="G12" s="15">
        <f t="shared" si="5"/>
        <v>3.8333333333333335</v>
      </c>
      <c r="H12" s="15">
        <f t="shared" si="5"/>
        <v>2.5833333333333335</v>
      </c>
      <c r="I12" s="121">
        <f t="shared" si="5"/>
        <v>2.6666666666666665</v>
      </c>
      <c r="J12" s="8"/>
    </row>
    <row r="13" spans="1:19" x14ac:dyDescent="0.25">
      <c r="A13" s="4" t="s">
        <v>1164</v>
      </c>
      <c r="B13" s="12">
        <v>5</v>
      </c>
      <c r="C13" s="11">
        <v>7</v>
      </c>
      <c r="D13" s="12">
        <v>7</v>
      </c>
      <c r="E13" s="12">
        <v>9</v>
      </c>
      <c r="F13" s="12">
        <v>9</v>
      </c>
      <c r="G13" s="12">
        <v>9</v>
      </c>
      <c r="H13" s="12">
        <v>10</v>
      </c>
      <c r="I13" s="120">
        <v>12</v>
      </c>
      <c r="J13" s="8"/>
      <c r="R13" s="125"/>
    </row>
    <row r="14" spans="1:19" ht="15.75" x14ac:dyDescent="0.25">
      <c r="A14" s="3" t="s">
        <v>7</v>
      </c>
      <c r="B14" s="1" t="s">
        <v>9</v>
      </c>
      <c r="C14" s="5" t="s">
        <v>10</v>
      </c>
      <c r="D14" s="1" t="s">
        <v>10</v>
      </c>
      <c r="E14" s="1" t="s">
        <v>10</v>
      </c>
      <c r="F14" s="1" t="s">
        <v>10</v>
      </c>
      <c r="G14" s="1" t="s">
        <v>10</v>
      </c>
      <c r="H14" s="1" t="s">
        <v>10</v>
      </c>
      <c r="I14" s="53" t="s">
        <v>9</v>
      </c>
      <c r="J14" s="8"/>
      <c r="O14" s="177" t="s">
        <v>1118</v>
      </c>
    </row>
    <row r="15" spans="1:19" x14ac:dyDescent="0.25">
      <c r="A15" s="3" t="s">
        <v>19</v>
      </c>
      <c r="B15" s="1">
        <v>240</v>
      </c>
      <c r="C15" s="5">
        <f>500</f>
        <v>500</v>
      </c>
      <c r="D15" s="1">
        <v>500</v>
      </c>
      <c r="E15" s="1">
        <v>700</v>
      </c>
      <c r="F15" s="1">
        <v>580</v>
      </c>
      <c r="G15" s="1">
        <v>580</v>
      </c>
      <c r="H15" s="1">
        <v>775</v>
      </c>
      <c r="I15" s="53">
        <f>110*6</f>
        <v>660</v>
      </c>
      <c r="J15" s="8"/>
      <c r="O15" s="7" t="s">
        <v>1132</v>
      </c>
    </row>
    <row r="16" spans="1:19" ht="15.75" thickBot="1" x14ac:dyDescent="0.3">
      <c r="A16" s="3" t="s">
        <v>1101</v>
      </c>
      <c r="B16" s="1">
        <f>25+6</f>
        <v>31</v>
      </c>
      <c r="C16" s="5">
        <f>16*6.7</f>
        <v>107.2</v>
      </c>
      <c r="D16" s="1">
        <f>18*6.7</f>
        <v>120.60000000000001</v>
      </c>
      <c r="E16" s="1">
        <f>20*6.7</f>
        <v>134</v>
      </c>
      <c r="F16" s="1">
        <f>25*6.7</f>
        <v>167.5</v>
      </c>
      <c r="G16" s="1">
        <f>25*6.7</f>
        <v>167.5</v>
      </c>
      <c r="H16" s="1">
        <v>170</v>
      </c>
      <c r="I16" s="53">
        <f>45*6</f>
        <v>270</v>
      </c>
      <c r="J16" s="229"/>
      <c r="N16" s="139" t="s">
        <v>1119</v>
      </c>
      <c r="O16" s="278">
        <v>15125</v>
      </c>
    </row>
    <row r="17" spans="1:18" ht="15.75" thickBot="1" x14ac:dyDescent="0.3">
      <c r="A17" s="3" t="s">
        <v>949</v>
      </c>
      <c r="B17" s="228">
        <v>40</v>
      </c>
      <c r="C17" s="5">
        <v>75</v>
      </c>
      <c r="D17" s="1">
        <v>82</v>
      </c>
      <c r="E17" s="1">
        <v>95</v>
      </c>
      <c r="F17" s="1">
        <v>100</v>
      </c>
      <c r="G17" s="1">
        <v>100</v>
      </c>
      <c r="H17" s="1">
        <v>97</v>
      </c>
      <c r="I17" s="1">
        <v>120</v>
      </c>
      <c r="J17" s="230" t="s">
        <v>950</v>
      </c>
      <c r="K17" s="231"/>
      <c r="L17" s="232"/>
      <c r="N17" s="139" t="s">
        <v>1120</v>
      </c>
      <c r="O17" s="278">
        <v>420</v>
      </c>
    </row>
    <row r="18" spans="1:18" ht="15.75" thickBot="1" x14ac:dyDescent="0.3">
      <c r="A18" s="44" t="s">
        <v>8</v>
      </c>
      <c r="B18" s="233">
        <v>1700</v>
      </c>
      <c r="C18" s="87">
        <v>3450</v>
      </c>
      <c r="D18" s="85">
        <v>4000</v>
      </c>
      <c r="E18" s="85">
        <v>4000</v>
      </c>
      <c r="F18" s="85">
        <v>4700</v>
      </c>
      <c r="G18" s="85">
        <v>5730</v>
      </c>
      <c r="H18" s="85">
        <v>6850</v>
      </c>
      <c r="I18" s="122">
        <v>8950</v>
      </c>
      <c r="J18" s="234" t="s">
        <v>1130</v>
      </c>
      <c r="K18" s="238"/>
      <c r="L18" s="239"/>
      <c r="N18" s="139" t="s">
        <v>1122</v>
      </c>
      <c r="O18" s="278">
        <f>O16+O17</f>
        <v>15545</v>
      </c>
    </row>
    <row r="19" spans="1:18" ht="15.75" thickBot="1" x14ac:dyDescent="0.3">
      <c r="A19" s="3" t="s">
        <v>1033</v>
      </c>
      <c r="B19" s="235">
        <v>5</v>
      </c>
      <c r="C19" s="167">
        <f t="shared" ref="C19:H19" si="7">Jet_Cost</f>
        <v>4</v>
      </c>
      <c r="D19" s="166">
        <f t="shared" si="7"/>
        <v>4</v>
      </c>
      <c r="E19" s="165">
        <f t="shared" si="7"/>
        <v>4</v>
      </c>
      <c r="F19" s="166">
        <f t="shared" si="7"/>
        <v>4</v>
      </c>
      <c r="G19" s="166">
        <f t="shared" si="7"/>
        <v>4</v>
      </c>
      <c r="H19" s="166">
        <f t="shared" si="7"/>
        <v>4</v>
      </c>
      <c r="I19" s="165">
        <f>Avgas_Cost</f>
        <v>5</v>
      </c>
      <c r="J19" s="237" t="s">
        <v>1034</v>
      </c>
      <c r="K19" s="231"/>
      <c r="L19" s="232"/>
      <c r="N19" s="139" t="s">
        <v>1121</v>
      </c>
      <c r="O19" s="278">
        <f>75*6.7</f>
        <v>502.5</v>
      </c>
    </row>
    <row r="20" spans="1:18" x14ac:dyDescent="0.25">
      <c r="A20" s="42" t="s">
        <v>16</v>
      </c>
      <c r="B20" s="86">
        <f>State_Ld_Fee*6</f>
        <v>15.48</v>
      </c>
      <c r="C20" s="43">
        <f>State_Ld_Fee*10.5</f>
        <v>27.09</v>
      </c>
      <c r="D20" s="86">
        <f>State_Ld_Fee*11.5</f>
        <v>29.67</v>
      </c>
      <c r="E20" s="86">
        <f>State_Ld_Fee*12.5</f>
        <v>32.25</v>
      </c>
      <c r="F20" s="86">
        <f>State_Ld_Fee*15</f>
        <v>38.700000000000003</v>
      </c>
      <c r="G20" s="86">
        <f>State_Ld_Fee*15</f>
        <v>38.700000000000003</v>
      </c>
      <c r="H20" s="86">
        <f>State_Ld_Fee*22</f>
        <v>56.760000000000005</v>
      </c>
      <c r="I20" s="86">
        <f>State_Ld_Fee*31</f>
        <v>79.98</v>
      </c>
      <c r="J20" s="236"/>
      <c r="N20" s="139" t="s">
        <v>1160</v>
      </c>
      <c r="O20" s="278">
        <f>O18+O19</f>
        <v>16047.5</v>
      </c>
      <c r="P20" s="7" t="s">
        <v>940</v>
      </c>
    </row>
    <row r="21" spans="1:18" ht="15.75" thickBot="1" x14ac:dyDescent="0.3">
      <c r="B21" s="220"/>
      <c r="C21" s="5"/>
      <c r="D21" s="35"/>
      <c r="E21" s="1"/>
      <c r="F21" s="220"/>
      <c r="G21" s="220"/>
      <c r="H21" s="220"/>
      <c r="I21" s="220"/>
      <c r="J21" s="8"/>
      <c r="N21" s="139" t="s">
        <v>1123</v>
      </c>
      <c r="O21" s="346">
        <v>22900</v>
      </c>
      <c r="P21" s="278">
        <f>ROUNDDOWN(Q21,-1)</f>
        <v>6850</v>
      </c>
      <c r="Q21" s="366">
        <f>O21-O20</f>
        <v>6852.5</v>
      </c>
    </row>
    <row r="22" spans="1:18" ht="15.75" thickBot="1" x14ac:dyDescent="0.3">
      <c r="B22" s="5"/>
      <c r="C22" s="219"/>
      <c r="D22" s="265"/>
      <c r="E22" s="269" t="s">
        <v>1114</v>
      </c>
      <c r="F22" s="270" t="s">
        <v>826</v>
      </c>
      <c r="G22" s="270" t="s">
        <v>1115</v>
      </c>
      <c r="H22" s="340"/>
      <c r="I22" s="1"/>
      <c r="J22" s="268"/>
      <c r="O22" s="139" t="s">
        <v>1161</v>
      </c>
      <c r="P22" s="278">
        <f>ROUNDDOWN(Q23,-1)</f>
        <v>2330</v>
      </c>
      <c r="Q22" s="367" t="s">
        <v>1162</v>
      </c>
    </row>
    <row r="23" spans="1:18" x14ac:dyDescent="0.25">
      <c r="A23" s="47" t="s">
        <v>14</v>
      </c>
      <c r="B23" s="218" t="s">
        <v>15</v>
      </c>
      <c r="C23" s="223">
        <v>4</v>
      </c>
      <c r="D23" s="266"/>
      <c r="E23" s="271">
        <v>44593</v>
      </c>
      <c r="F23" s="273">
        <v>3.3</v>
      </c>
      <c r="G23" s="273">
        <v>3.2</v>
      </c>
      <c r="H23" s="341"/>
      <c r="I23" s="215"/>
      <c r="J23" s="268"/>
      <c r="Q23" s="366">
        <f>P21-O26</f>
        <v>2334.1999999999998</v>
      </c>
      <c r="R23" s="162"/>
    </row>
    <row r="24" spans="1:18" ht="15.75" thickBot="1" x14ac:dyDescent="0.3">
      <c r="A24" s="47" t="s">
        <v>13</v>
      </c>
      <c r="B24" s="218" t="s">
        <v>15</v>
      </c>
      <c r="C24" s="224">
        <v>5</v>
      </c>
      <c r="D24" s="267"/>
      <c r="E24" s="272">
        <v>44593</v>
      </c>
      <c r="F24" s="274">
        <v>5.34</v>
      </c>
      <c r="G24" s="274">
        <v>4.8099999999999996</v>
      </c>
      <c r="H24" s="341"/>
      <c r="I24" s="215"/>
      <c r="J24" s="268"/>
    </row>
    <row r="25" spans="1:18" x14ac:dyDescent="0.25">
      <c r="A25" s="3" t="s">
        <v>196</v>
      </c>
      <c r="B25" s="5">
        <v>1.0625</v>
      </c>
      <c r="C25" s="221"/>
      <c r="D25" s="222"/>
      <c r="E25" s="221"/>
      <c r="F25" s="222"/>
      <c r="G25" s="222"/>
      <c r="H25" s="222"/>
      <c r="I25" s="222"/>
      <c r="J25" s="8"/>
    </row>
    <row r="26" spans="1:18" x14ac:dyDescent="0.25">
      <c r="A26" s="3" t="s">
        <v>195</v>
      </c>
      <c r="B26" s="45">
        <v>1.075</v>
      </c>
      <c r="C26" s="35"/>
      <c r="D26" s="1"/>
      <c r="E26" s="1"/>
      <c r="F26" s="1"/>
      <c r="G26" s="1"/>
      <c r="H26" s="1"/>
      <c r="I26" s="1"/>
      <c r="J26" s="8"/>
      <c r="N26" s="139" t="s">
        <v>1151</v>
      </c>
      <c r="O26" s="346">
        <f>674*6.7</f>
        <v>4515.8</v>
      </c>
      <c r="P26" s="278">
        <f>O27-O25</f>
        <v>0</v>
      </c>
    </row>
    <row r="27" spans="1:18" ht="15.75" thickBot="1" x14ac:dyDescent="0.3">
      <c r="A27" s="3" t="s">
        <v>719</v>
      </c>
      <c r="B27" s="46">
        <v>2.58</v>
      </c>
      <c r="C27" s="463" t="s">
        <v>720</v>
      </c>
      <c r="D27" s="463"/>
      <c r="E27" s="6"/>
      <c r="F27" s="6"/>
      <c r="G27" s="6"/>
      <c r="H27" s="6"/>
      <c r="I27" s="6"/>
      <c r="J27" s="9" t="s">
        <v>1045</v>
      </c>
    </row>
    <row r="28" spans="1:18" ht="15.75" thickBot="1" x14ac:dyDescent="0.3">
      <c r="A28" s="149" t="s">
        <v>1044</v>
      </c>
      <c r="G28" s="114" t="s">
        <v>1046</v>
      </c>
    </row>
    <row r="30" spans="1:18" x14ac:dyDescent="0.25">
      <c r="C30" s="10"/>
      <c r="D30" s="2" t="s">
        <v>12</v>
      </c>
      <c r="G30" s="127"/>
      <c r="H30" s="128" t="s">
        <v>921</v>
      </c>
      <c r="I30" s="128" t="s">
        <v>922</v>
      </c>
      <c r="K30" s="217"/>
      <c r="L30" s="217"/>
      <c r="M30" s="217"/>
      <c r="N30" s="217"/>
      <c r="O30" s="217"/>
    </row>
    <row r="31" spans="1:18" ht="15.75" thickBot="1" x14ac:dyDescent="0.3">
      <c r="C31" s="14"/>
      <c r="D31" s="2" t="s">
        <v>18</v>
      </c>
      <c r="G31" s="129" t="s">
        <v>920</v>
      </c>
      <c r="H31" s="130">
        <v>3406</v>
      </c>
      <c r="I31" s="130">
        <f>H31*1.05</f>
        <v>3576.3</v>
      </c>
    </row>
    <row r="32" spans="1:18" ht="18" thickBot="1" x14ac:dyDescent="0.4">
      <c r="K32" s="473" t="s">
        <v>1135</v>
      </c>
      <c r="L32" s="474"/>
    </row>
    <row r="33" spans="1:19" ht="15.75" thickBot="1" x14ac:dyDescent="0.3">
      <c r="K33" s="476" t="s">
        <v>1132</v>
      </c>
      <c r="L33" s="477"/>
    </row>
    <row r="34" spans="1:19" ht="21.75" thickBot="1" x14ac:dyDescent="0.4">
      <c r="A34"/>
      <c r="B34" s="75" t="s">
        <v>823</v>
      </c>
      <c r="C34" s="72"/>
      <c r="D34" s="72"/>
      <c r="E34" s="72"/>
      <c r="F34" s="72"/>
      <c r="K34" s="433" t="s">
        <v>1136</v>
      </c>
      <c r="L34" s="433"/>
      <c r="O34" s="342"/>
    </row>
    <row r="35" spans="1:19" ht="15.75" thickBot="1" x14ac:dyDescent="0.3">
      <c r="A35"/>
      <c r="C35" s="73" t="s">
        <v>804</v>
      </c>
      <c r="D35" s="73"/>
      <c r="E35" s="73"/>
      <c r="F35" s="74"/>
      <c r="G35" s="471" t="s">
        <v>811</v>
      </c>
      <c r="H35" s="49" t="s">
        <v>805</v>
      </c>
      <c r="K35" s="478">
        <v>200</v>
      </c>
      <c r="L35" s="454"/>
      <c r="M35" t="s">
        <v>1137</v>
      </c>
      <c r="O35" s="342"/>
    </row>
    <row r="36" spans="1:19" x14ac:dyDescent="0.25">
      <c r="A36" s="48" t="s">
        <v>806</v>
      </c>
      <c r="B36" s="50" t="s">
        <v>807</v>
      </c>
      <c r="C36" s="50" t="s">
        <v>7</v>
      </c>
      <c r="D36" s="50" t="s">
        <v>808</v>
      </c>
      <c r="E36" s="50" t="s">
        <v>809</v>
      </c>
      <c r="F36" s="49" t="s">
        <v>810</v>
      </c>
      <c r="G36" s="472"/>
      <c r="H36" s="51" t="s">
        <v>812</v>
      </c>
      <c r="K36" s="479">
        <v>0</v>
      </c>
      <c r="L36" s="454"/>
      <c r="M36" t="s">
        <v>1138</v>
      </c>
      <c r="O36" s="342"/>
      <c r="P36" s="217"/>
      <c r="S36" s="342"/>
    </row>
    <row r="37" spans="1:19" x14ac:dyDescent="0.25">
      <c r="A37" s="52" t="s">
        <v>1</v>
      </c>
      <c r="B37" s="53" t="s">
        <v>813</v>
      </c>
      <c r="C37" s="53" t="s">
        <v>814</v>
      </c>
      <c r="D37" s="53">
        <v>20</v>
      </c>
      <c r="E37" s="53">
        <v>97</v>
      </c>
      <c r="F37" s="54">
        <v>75</v>
      </c>
      <c r="G37" s="55">
        <v>1234</v>
      </c>
      <c r="H37" s="56">
        <v>0.27500000000000002</v>
      </c>
      <c r="I37" s="119"/>
      <c r="K37" s="479">
        <v>7500</v>
      </c>
      <c r="L37" s="454"/>
      <c r="M37" s="2" t="s">
        <v>1031</v>
      </c>
      <c r="O37" s="342"/>
      <c r="P37" s="342"/>
      <c r="S37" s="163"/>
    </row>
    <row r="38" spans="1:19" x14ac:dyDescent="0.25">
      <c r="A38" s="52" t="s">
        <v>2</v>
      </c>
      <c r="B38" s="57" t="s">
        <v>815</v>
      </c>
      <c r="C38" s="57" t="s">
        <v>814</v>
      </c>
      <c r="D38" s="57">
        <v>30</v>
      </c>
      <c r="E38" s="57">
        <v>104</v>
      </c>
      <c r="F38" s="58">
        <v>90</v>
      </c>
      <c r="G38" s="59">
        <v>1864</v>
      </c>
      <c r="H38" s="60">
        <v>0.22500000000000001</v>
      </c>
      <c r="I38" s="119"/>
      <c r="K38" s="479"/>
      <c r="L38" s="454"/>
      <c r="M38" t="s">
        <v>1139</v>
      </c>
      <c r="O38" s="342"/>
      <c r="S38" s="342"/>
    </row>
    <row r="39" spans="1:19" x14ac:dyDescent="0.25">
      <c r="A39" s="52" t="s">
        <v>2</v>
      </c>
      <c r="B39" s="61" t="s">
        <v>816</v>
      </c>
      <c r="C39" s="61" t="s">
        <v>814</v>
      </c>
      <c r="D39" s="61">
        <v>30</v>
      </c>
      <c r="E39" s="61">
        <v>104</v>
      </c>
      <c r="F39" s="62">
        <v>90</v>
      </c>
      <c r="G39" s="63">
        <v>1864</v>
      </c>
      <c r="H39" s="64">
        <v>0.22500000000000001</v>
      </c>
      <c r="I39" s="119"/>
      <c r="K39" s="433" t="s">
        <v>1140</v>
      </c>
      <c r="L39" s="475"/>
      <c r="O39" s="342"/>
    </row>
    <row r="40" spans="1:19" x14ac:dyDescent="0.25">
      <c r="A40" s="52" t="s">
        <v>817</v>
      </c>
      <c r="B40" s="57" t="s">
        <v>818</v>
      </c>
      <c r="C40" s="57" t="s">
        <v>819</v>
      </c>
      <c r="D40" s="57">
        <v>50</v>
      </c>
      <c r="E40" s="57">
        <v>110</v>
      </c>
      <c r="F40" s="58">
        <v>100</v>
      </c>
      <c r="G40" s="59">
        <v>1885</v>
      </c>
      <c r="H40" s="60">
        <v>0.28999999999999998</v>
      </c>
      <c r="I40" s="119"/>
      <c r="K40" s="453">
        <v>150</v>
      </c>
      <c r="L40" s="454"/>
      <c r="M40" t="s">
        <v>1030</v>
      </c>
      <c r="O40" s="342"/>
      <c r="S40" s="342"/>
    </row>
    <row r="41" spans="1:19" x14ac:dyDescent="0.25">
      <c r="A41" s="52" t="s">
        <v>817</v>
      </c>
      <c r="B41" s="53" t="s">
        <v>820</v>
      </c>
      <c r="C41" s="53" t="s">
        <v>819</v>
      </c>
      <c r="D41" s="53">
        <v>50</v>
      </c>
      <c r="E41" s="53">
        <v>110</v>
      </c>
      <c r="F41" s="54">
        <v>100</v>
      </c>
      <c r="G41" s="65">
        <v>1885</v>
      </c>
      <c r="H41" s="66">
        <v>0.28999999999999998</v>
      </c>
      <c r="K41" s="462">
        <f>K36/K35</f>
        <v>0</v>
      </c>
      <c r="L41" s="454"/>
      <c r="M41" s="2" t="s">
        <v>1141</v>
      </c>
      <c r="O41" s="342"/>
      <c r="S41" s="342"/>
    </row>
    <row r="42" spans="1:19" x14ac:dyDescent="0.25">
      <c r="A42" s="52" t="s">
        <v>817</v>
      </c>
      <c r="B42" s="57" t="s">
        <v>821</v>
      </c>
      <c r="C42" s="57" t="s">
        <v>819</v>
      </c>
      <c r="D42" s="57">
        <v>50</v>
      </c>
      <c r="E42" s="57">
        <v>110</v>
      </c>
      <c r="F42" s="58">
        <v>100</v>
      </c>
      <c r="G42" s="59">
        <v>1885</v>
      </c>
      <c r="H42" s="60">
        <v>0.28999999999999998</v>
      </c>
      <c r="K42" s="453">
        <v>400</v>
      </c>
      <c r="L42" s="454"/>
      <c r="M42" t="s">
        <v>987</v>
      </c>
      <c r="O42" s="342"/>
    </row>
    <row r="43" spans="1:19" ht="15.75" thickBot="1" x14ac:dyDescent="0.3">
      <c r="A43" s="67" t="s">
        <v>817</v>
      </c>
      <c r="B43" s="68" t="s">
        <v>822</v>
      </c>
      <c r="C43" s="68" t="s">
        <v>819</v>
      </c>
      <c r="D43" s="68">
        <v>50</v>
      </c>
      <c r="E43" s="68">
        <v>110</v>
      </c>
      <c r="F43" s="69">
        <v>100</v>
      </c>
      <c r="G43" s="70">
        <v>1885</v>
      </c>
      <c r="H43" s="71">
        <v>0.28999999999999998</v>
      </c>
      <c r="K43" s="453">
        <v>400</v>
      </c>
      <c r="L43" s="454"/>
      <c r="M43" t="s">
        <v>1142</v>
      </c>
      <c r="O43" s="342"/>
      <c r="Q43" s="343"/>
    </row>
    <row r="44" spans="1:19" ht="15.75" thickBot="1" x14ac:dyDescent="0.3">
      <c r="A44" s="67" t="s">
        <v>885</v>
      </c>
      <c r="B44" s="68" t="s">
        <v>935</v>
      </c>
      <c r="C44" s="68" t="s">
        <v>814</v>
      </c>
      <c r="D44" s="68">
        <v>20</v>
      </c>
      <c r="E44" s="68">
        <v>90</v>
      </c>
      <c r="F44" s="69">
        <v>70</v>
      </c>
      <c r="G44" s="70">
        <v>1300</v>
      </c>
      <c r="H44" s="71">
        <v>0.28999999999999998</v>
      </c>
      <c r="K44" s="453">
        <f>22*State_Ld_Fee</f>
        <v>56.760000000000005</v>
      </c>
      <c r="L44" s="454"/>
      <c r="M44" t="s">
        <v>1147</v>
      </c>
      <c r="O44" s="342"/>
    </row>
    <row r="45" spans="1:19" x14ac:dyDescent="0.25">
      <c r="K45" s="462">
        <f>K37/K35</f>
        <v>37.5</v>
      </c>
      <c r="L45" s="454"/>
      <c r="M45" s="2" t="s">
        <v>1143</v>
      </c>
      <c r="O45" s="342"/>
      <c r="S45" s="343"/>
    </row>
    <row r="46" spans="1:19" x14ac:dyDescent="0.25">
      <c r="K46" s="453">
        <f>SD330_Tax_Gal*H19</f>
        <v>388</v>
      </c>
      <c r="L46" s="454"/>
      <c r="M46" t="s">
        <v>1148</v>
      </c>
      <c r="O46" s="342"/>
    </row>
    <row r="47" spans="1:19" ht="15.75" thickBot="1" x14ac:dyDescent="0.3">
      <c r="K47" s="455">
        <v>100</v>
      </c>
      <c r="L47" s="456"/>
      <c r="M47" t="s">
        <v>1149</v>
      </c>
      <c r="O47" s="342"/>
      <c r="R47" s="344"/>
      <c r="S47" s="343"/>
    </row>
    <row r="48" spans="1:19" ht="15.75" thickTop="1" x14ac:dyDescent="0.25">
      <c r="K48" s="457">
        <f>SUM(K40:K47)</f>
        <v>1532.26</v>
      </c>
      <c r="L48" s="458"/>
      <c r="M48" t="s">
        <v>1144</v>
      </c>
      <c r="O48" s="342"/>
      <c r="S48" s="119"/>
    </row>
    <row r="49" spans="11:19" ht="15.75" thickBot="1" x14ac:dyDescent="0.3">
      <c r="K49" s="459">
        <f>K48*M49</f>
        <v>76.613</v>
      </c>
      <c r="L49" s="460"/>
      <c r="M49" s="345">
        <v>0.05</v>
      </c>
      <c r="N49" t="s">
        <v>1145</v>
      </c>
      <c r="O49" s="342"/>
    </row>
    <row r="50" spans="11:19" ht="15.75" thickTop="1" x14ac:dyDescent="0.25">
      <c r="K50" s="461">
        <f t="shared" ref="K50" si="8">SUM(K42:K48)</f>
        <v>2914.52</v>
      </c>
      <c r="L50" s="458"/>
      <c r="M50" s="314" t="s">
        <v>1146</v>
      </c>
      <c r="O50" s="342"/>
      <c r="R50" s="344"/>
      <c r="S50" s="343"/>
    </row>
    <row r="51" spans="11:19" x14ac:dyDescent="0.25">
      <c r="K51" s="143"/>
      <c r="L51" s="143"/>
      <c r="O51" s="342"/>
    </row>
    <row r="53" spans="11:19" x14ac:dyDescent="0.25">
      <c r="P53" s="217"/>
      <c r="Q53" s="217"/>
    </row>
    <row r="54" spans="11:19" x14ac:dyDescent="0.25">
      <c r="P54" s="217"/>
      <c r="Q54" s="217"/>
    </row>
    <row r="55" spans="11:19" x14ac:dyDescent="0.25">
      <c r="P55" s="342"/>
      <c r="Q55" s="343"/>
    </row>
    <row r="56" spans="11:19" x14ac:dyDescent="0.25">
      <c r="P56" s="342"/>
      <c r="Q56" s="343"/>
    </row>
    <row r="57" spans="11:19" x14ac:dyDescent="0.25">
      <c r="P57" s="342"/>
      <c r="Q57" s="343"/>
      <c r="S57" s="342"/>
    </row>
    <row r="58" spans="11:19" x14ac:dyDescent="0.25">
      <c r="P58" s="342"/>
      <c r="Q58" s="343"/>
    </row>
    <row r="59" spans="11:19" x14ac:dyDescent="0.25">
      <c r="P59" s="342"/>
      <c r="S59" s="342"/>
    </row>
    <row r="60" spans="11:19" x14ac:dyDescent="0.25">
      <c r="S60" s="119"/>
    </row>
    <row r="62" spans="11:19" x14ac:dyDescent="0.25">
      <c r="S62" s="343"/>
    </row>
  </sheetData>
  <sortState xmlns:xlrd2="http://schemas.microsoft.com/office/spreadsheetml/2017/richdata2" columnSort="1" ref="C8:I20">
    <sortCondition ref="C8:I8"/>
  </sortState>
  <mergeCells count="23">
    <mergeCell ref="K40:L40"/>
    <mergeCell ref="K39:L39"/>
    <mergeCell ref="K33:L33"/>
    <mergeCell ref="K35:L35"/>
    <mergeCell ref="K36:L36"/>
    <mergeCell ref="K37:L37"/>
    <mergeCell ref="K38:L38"/>
    <mergeCell ref="C27:D27"/>
    <mergeCell ref="J9:J10"/>
    <mergeCell ref="K9:M10"/>
    <mergeCell ref="G35:G36"/>
    <mergeCell ref="K32:L32"/>
    <mergeCell ref="K34:L34"/>
    <mergeCell ref="K41:L41"/>
    <mergeCell ref="K42:L42"/>
    <mergeCell ref="K43:L43"/>
    <mergeCell ref="K44:L44"/>
    <mergeCell ref="K45:L45"/>
    <mergeCell ref="K46:L46"/>
    <mergeCell ref="K47:L47"/>
    <mergeCell ref="K48:L48"/>
    <mergeCell ref="K49:L49"/>
    <mergeCell ref="K50:L50"/>
  </mergeCells>
  <pageMargins left="0.7" right="0.7" top="0.75" bottom="0.75" header="0.3" footer="0.3"/>
  <pageSetup scale="44" orientation="landscape" horizont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04"/>
  <sheetViews>
    <sheetView showGridLines="0" topLeftCell="A127" zoomScaleNormal="100" workbookViewId="0">
      <selection activeCell="F199" sqref="F199"/>
    </sheetView>
  </sheetViews>
  <sheetFormatPr defaultColWidth="9.140625" defaultRowHeight="16.5" x14ac:dyDescent="0.3"/>
  <cols>
    <col min="1" max="1" width="4" style="16" customWidth="1"/>
    <col min="2" max="2" width="34.7109375" style="16" bestFit="1" customWidth="1"/>
    <col min="3" max="3" width="7" style="16" bestFit="1" customWidth="1"/>
    <col min="4" max="4" width="9" style="36" customWidth="1"/>
    <col min="5" max="5" width="5.5703125" style="18" customWidth="1"/>
    <col min="6" max="6" width="162.5703125" style="29" bestFit="1" customWidth="1"/>
    <col min="7" max="16384" width="9.140625" style="16"/>
  </cols>
  <sheetData>
    <row r="1" spans="2:6" ht="28.5" customHeight="1" x14ac:dyDescent="0.3">
      <c r="E1" s="480" t="s">
        <v>648</v>
      </c>
    </row>
    <row r="2" spans="2:6" s="17" customFormat="1" ht="36.75" customHeight="1" thickBot="1" x14ac:dyDescent="0.4">
      <c r="B2" s="17" t="s">
        <v>178</v>
      </c>
      <c r="C2" s="17" t="s">
        <v>179</v>
      </c>
      <c r="D2" s="37" t="s">
        <v>180</v>
      </c>
      <c r="E2" s="481"/>
      <c r="F2" s="25" t="s">
        <v>4</v>
      </c>
    </row>
    <row r="3" spans="2:6" ht="16.5" customHeight="1" x14ac:dyDescent="0.35">
      <c r="B3" s="20" t="s">
        <v>20</v>
      </c>
      <c r="C3" s="21" t="s">
        <v>21</v>
      </c>
      <c r="D3" s="38">
        <v>1033</v>
      </c>
      <c r="E3" s="34" t="s">
        <v>645</v>
      </c>
      <c r="F3" s="26" t="s">
        <v>803</v>
      </c>
    </row>
    <row r="4" spans="2:6" x14ac:dyDescent="0.3">
      <c r="B4" s="22" t="s">
        <v>22</v>
      </c>
      <c r="C4" s="19" t="s">
        <v>23</v>
      </c>
      <c r="D4" s="39">
        <v>283</v>
      </c>
      <c r="E4" s="30" t="s">
        <v>645</v>
      </c>
      <c r="F4" s="27" t="s">
        <v>24</v>
      </c>
    </row>
    <row r="5" spans="2:6" x14ac:dyDescent="0.3">
      <c r="B5" s="22" t="s">
        <v>25</v>
      </c>
      <c r="C5" s="19" t="s">
        <v>26</v>
      </c>
      <c r="D5" s="39">
        <v>326</v>
      </c>
      <c r="E5" s="30" t="s">
        <v>645</v>
      </c>
      <c r="F5" s="27" t="s">
        <v>27</v>
      </c>
    </row>
    <row r="6" spans="2:6" x14ac:dyDescent="0.3">
      <c r="B6" s="22" t="s">
        <v>892</v>
      </c>
      <c r="C6" s="19" t="s">
        <v>893</v>
      </c>
      <c r="D6" s="39">
        <v>650</v>
      </c>
      <c r="E6" s="30" t="s">
        <v>645</v>
      </c>
      <c r="F6" s="27" t="s">
        <v>894</v>
      </c>
    </row>
    <row r="7" spans="2:6" x14ac:dyDescent="0.3">
      <c r="B7" s="22" t="s">
        <v>28</v>
      </c>
      <c r="C7" s="19" t="s">
        <v>29</v>
      </c>
      <c r="D7" s="39">
        <v>423</v>
      </c>
      <c r="E7" s="30" t="s">
        <v>645</v>
      </c>
      <c r="F7" s="27" t="s">
        <v>30</v>
      </c>
    </row>
    <row r="8" spans="2:6" x14ac:dyDescent="0.3">
      <c r="B8" s="22" t="s">
        <v>33</v>
      </c>
      <c r="C8" s="19" t="s">
        <v>31</v>
      </c>
      <c r="D8" s="39">
        <v>282</v>
      </c>
      <c r="E8" s="30" t="s">
        <v>645</v>
      </c>
      <c r="F8" s="27" t="s">
        <v>32</v>
      </c>
    </row>
    <row r="9" spans="2:6" x14ac:dyDescent="0.3">
      <c r="B9" s="22" t="s">
        <v>34</v>
      </c>
      <c r="C9" s="19" t="s">
        <v>35</v>
      </c>
      <c r="D9" s="39">
        <v>330</v>
      </c>
      <c r="E9" s="30" t="s">
        <v>645</v>
      </c>
      <c r="F9" s="27" t="s">
        <v>36</v>
      </c>
    </row>
    <row r="10" spans="2:6" x14ac:dyDescent="0.3">
      <c r="B10" s="22" t="s">
        <v>37</v>
      </c>
      <c r="C10" s="19" t="s">
        <v>38</v>
      </c>
      <c r="D10" s="39">
        <v>206</v>
      </c>
      <c r="E10" s="30" t="s">
        <v>645</v>
      </c>
      <c r="F10" s="27" t="s">
        <v>39</v>
      </c>
    </row>
    <row r="11" spans="2:6" x14ac:dyDescent="0.3">
      <c r="B11" s="22" t="s">
        <v>40</v>
      </c>
      <c r="C11" s="19" t="s">
        <v>42</v>
      </c>
      <c r="D11" s="39">
        <v>410</v>
      </c>
      <c r="E11" s="30" t="s">
        <v>645</v>
      </c>
      <c r="F11" s="27" t="s">
        <v>41</v>
      </c>
    </row>
    <row r="12" spans="2:6" x14ac:dyDescent="0.3">
      <c r="B12" s="22" t="s">
        <v>43</v>
      </c>
      <c r="C12" s="19" t="s">
        <v>44</v>
      </c>
      <c r="D12" s="39">
        <v>420</v>
      </c>
      <c r="E12" s="30" t="s">
        <v>645</v>
      </c>
      <c r="F12" s="27" t="s">
        <v>45</v>
      </c>
    </row>
    <row r="13" spans="2:6" x14ac:dyDescent="0.3">
      <c r="B13" s="22" t="s">
        <v>181</v>
      </c>
      <c r="C13" s="19"/>
      <c r="D13" s="39"/>
      <c r="E13" s="30" t="s">
        <v>645</v>
      </c>
      <c r="F13" s="27" t="s">
        <v>193</v>
      </c>
    </row>
    <row r="14" spans="2:6" x14ac:dyDescent="0.3">
      <c r="B14" s="22" t="s">
        <v>46</v>
      </c>
      <c r="C14" s="19" t="s">
        <v>182</v>
      </c>
      <c r="D14" s="39">
        <v>276</v>
      </c>
      <c r="E14" s="30" t="s">
        <v>645</v>
      </c>
      <c r="F14" s="27" t="s">
        <v>47</v>
      </c>
    </row>
    <row r="15" spans="2:6" x14ac:dyDescent="0.3">
      <c r="B15" s="22" t="s">
        <v>48</v>
      </c>
      <c r="C15" s="19" t="s">
        <v>183</v>
      </c>
      <c r="D15" s="39">
        <v>687</v>
      </c>
      <c r="E15" s="30" t="s">
        <v>645</v>
      </c>
      <c r="F15" s="27" t="s">
        <v>49</v>
      </c>
    </row>
    <row r="16" spans="2:6" x14ac:dyDescent="0.3">
      <c r="B16" s="22" t="s">
        <v>50</v>
      </c>
      <c r="C16" s="19" t="s">
        <v>184</v>
      </c>
      <c r="D16" s="39">
        <v>302</v>
      </c>
      <c r="E16" s="30" t="s">
        <v>645</v>
      </c>
      <c r="F16" s="27" t="s">
        <v>877</v>
      </c>
    </row>
    <row r="17" spans="2:6" x14ac:dyDescent="0.3">
      <c r="B17" s="22" t="s">
        <v>51</v>
      </c>
      <c r="C17" s="19" t="s">
        <v>52</v>
      </c>
      <c r="D17" s="39">
        <v>432</v>
      </c>
      <c r="E17" s="30" t="s">
        <v>645</v>
      </c>
      <c r="F17" s="27" t="s">
        <v>194</v>
      </c>
    </row>
    <row r="18" spans="2:6" x14ac:dyDescent="0.3">
      <c r="B18" s="22" t="s">
        <v>53</v>
      </c>
      <c r="C18" s="19" t="s">
        <v>876</v>
      </c>
      <c r="D18" s="39">
        <v>954</v>
      </c>
      <c r="E18" s="30" t="s">
        <v>645</v>
      </c>
      <c r="F18" s="123" t="s">
        <v>985</v>
      </c>
    </row>
    <row r="19" spans="2:6" x14ac:dyDescent="0.3">
      <c r="B19" s="22" t="s">
        <v>54</v>
      </c>
      <c r="C19" s="19" t="s">
        <v>55</v>
      </c>
      <c r="D19" s="39">
        <v>370</v>
      </c>
      <c r="E19" s="30" t="s">
        <v>645</v>
      </c>
      <c r="F19" s="27" t="s">
        <v>185</v>
      </c>
    </row>
    <row r="20" spans="2:6" x14ac:dyDescent="0.3">
      <c r="B20" s="22" t="s">
        <v>56</v>
      </c>
      <c r="C20" s="19" t="s">
        <v>57</v>
      </c>
      <c r="D20" s="39">
        <v>586</v>
      </c>
      <c r="E20" s="30" t="s">
        <v>645</v>
      </c>
      <c r="F20" s="27" t="s">
        <v>186</v>
      </c>
    </row>
    <row r="21" spans="2:6" x14ac:dyDescent="0.3">
      <c r="B21" s="22" t="s">
        <v>863</v>
      </c>
      <c r="C21" s="19" t="s">
        <v>864</v>
      </c>
      <c r="D21" s="39">
        <v>1425</v>
      </c>
      <c r="E21" s="30" t="s">
        <v>644</v>
      </c>
      <c r="F21" s="27" t="s">
        <v>865</v>
      </c>
    </row>
    <row r="22" spans="2:6" x14ac:dyDescent="0.3">
      <c r="B22" s="22" t="s">
        <v>862</v>
      </c>
      <c r="C22" s="19" t="s">
        <v>864</v>
      </c>
      <c r="D22" s="39">
        <v>1295</v>
      </c>
      <c r="E22" s="30" t="s">
        <v>644</v>
      </c>
      <c r="F22" s="27" t="s">
        <v>865</v>
      </c>
    </row>
    <row r="23" spans="2:6" x14ac:dyDescent="0.3">
      <c r="B23" s="22" t="s">
        <v>1002</v>
      </c>
      <c r="C23" s="19" t="s">
        <v>1003</v>
      </c>
      <c r="D23" s="39">
        <v>545</v>
      </c>
      <c r="E23" s="30" t="s">
        <v>645</v>
      </c>
      <c r="F23" s="27" t="s">
        <v>1004</v>
      </c>
    </row>
    <row r="24" spans="2:6" x14ac:dyDescent="0.3">
      <c r="B24" s="22" t="s">
        <v>58</v>
      </c>
      <c r="C24" s="19" t="s">
        <v>59</v>
      </c>
      <c r="D24" s="39">
        <v>630</v>
      </c>
      <c r="E24" s="30" t="s">
        <v>645</v>
      </c>
      <c r="F24" s="27" t="s">
        <v>1032</v>
      </c>
    </row>
    <row r="25" spans="2:6" x14ac:dyDescent="0.3">
      <c r="B25" s="22" t="s">
        <v>866</v>
      </c>
      <c r="C25" s="19" t="s">
        <v>868</v>
      </c>
      <c r="D25" s="39">
        <v>561</v>
      </c>
      <c r="E25" s="30" t="s">
        <v>645</v>
      </c>
      <c r="F25" s="27" t="s">
        <v>867</v>
      </c>
    </row>
    <row r="26" spans="2:6" x14ac:dyDescent="0.3">
      <c r="B26" s="22" t="s">
        <v>60</v>
      </c>
      <c r="C26" s="19" t="s">
        <v>61</v>
      </c>
      <c r="D26" s="39">
        <v>318</v>
      </c>
      <c r="E26" s="30" t="s">
        <v>645</v>
      </c>
      <c r="F26" s="27" t="s">
        <v>187</v>
      </c>
    </row>
    <row r="27" spans="2:6" x14ac:dyDescent="0.3">
      <c r="B27" s="22" t="s">
        <v>62</v>
      </c>
      <c r="C27" s="19"/>
      <c r="D27" s="39">
        <v>30</v>
      </c>
      <c r="E27" s="30" t="s">
        <v>645</v>
      </c>
      <c r="F27" s="27" t="s">
        <v>188</v>
      </c>
    </row>
    <row r="28" spans="2:6" x14ac:dyDescent="0.3">
      <c r="B28" s="22" t="s">
        <v>63</v>
      </c>
      <c r="C28" s="19" t="s">
        <v>64</v>
      </c>
      <c r="D28" s="39">
        <v>345</v>
      </c>
      <c r="E28" s="30" t="s">
        <v>645</v>
      </c>
      <c r="F28" s="27" t="s">
        <v>189</v>
      </c>
    </row>
    <row r="29" spans="2:6" x14ac:dyDescent="0.3">
      <c r="B29" s="22" t="s">
        <v>65</v>
      </c>
      <c r="C29" s="19" t="s">
        <v>66</v>
      </c>
      <c r="D29" s="39">
        <v>347</v>
      </c>
      <c r="E29" s="30" t="s">
        <v>645</v>
      </c>
      <c r="F29" s="27" t="s">
        <v>189</v>
      </c>
    </row>
    <row r="30" spans="2:6" x14ac:dyDescent="0.3">
      <c r="B30" s="22" t="s">
        <v>67</v>
      </c>
      <c r="C30" s="19" t="s">
        <v>68</v>
      </c>
      <c r="D30" s="39">
        <v>23</v>
      </c>
      <c r="E30" s="30" t="s">
        <v>645</v>
      </c>
      <c r="F30" s="27" t="s">
        <v>190</v>
      </c>
    </row>
    <row r="31" spans="2:6" x14ac:dyDescent="0.3">
      <c r="B31" s="22" t="s">
        <v>69</v>
      </c>
      <c r="C31" s="19" t="s">
        <v>70</v>
      </c>
      <c r="D31" s="39">
        <v>191</v>
      </c>
      <c r="E31" s="30" t="s">
        <v>645</v>
      </c>
      <c r="F31" s="27" t="s">
        <v>191</v>
      </c>
    </row>
    <row r="32" spans="2:6" x14ac:dyDescent="0.3">
      <c r="B32" s="22" t="s">
        <v>71</v>
      </c>
      <c r="C32" s="19" t="s">
        <v>72</v>
      </c>
      <c r="D32" s="39">
        <v>325</v>
      </c>
      <c r="E32" s="30" t="s">
        <v>645</v>
      </c>
      <c r="F32" s="27" t="s">
        <v>192</v>
      </c>
    </row>
    <row r="33" spans="2:6" x14ac:dyDescent="0.3">
      <c r="B33" s="22" t="s">
        <v>71</v>
      </c>
      <c r="C33" s="19" t="s">
        <v>72</v>
      </c>
      <c r="D33" s="39">
        <v>325</v>
      </c>
      <c r="E33" s="30" t="s">
        <v>645</v>
      </c>
      <c r="F33" s="27"/>
    </row>
    <row r="34" spans="2:6" x14ac:dyDescent="0.3">
      <c r="B34" s="22" t="s">
        <v>73</v>
      </c>
      <c r="C34" s="19" t="s">
        <v>74</v>
      </c>
      <c r="D34" s="39">
        <v>20</v>
      </c>
      <c r="E34" s="30" t="s">
        <v>644</v>
      </c>
      <c r="F34" s="27"/>
    </row>
    <row r="35" spans="2:6" x14ac:dyDescent="0.3">
      <c r="B35" s="22" t="s">
        <v>200</v>
      </c>
      <c r="C35" s="19"/>
      <c r="D35" s="39"/>
      <c r="E35" s="30" t="s">
        <v>645</v>
      </c>
      <c r="F35" s="27"/>
    </row>
    <row r="36" spans="2:6" x14ac:dyDescent="0.3">
      <c r="B36" s="22" t="s">
        <v>201</v>
      </c>
      <c r="C36" s="19"/>
      <c r="D36" s="39"/>
      <c r="E36" s="30" t="s">
        <v>645</v>
      </c>
      <c r="F36" s="27"/>
    </row>
    <row r="37" spans="2:6" x14ac:dyDescent="0.3">
      <c r="B37" s="22" t="s">
        <v>202</v>
      </c>
      <c r="C37" s="19"/>
      <c r="D37" s="39"/>
      <c r="E37" s="30" t="s">
        <v>645</v>
      </c>
      <c r="F37" s="27"/>
    </row>
    <row r="38" spans="2:6" x14ac:dyDescent="0.3">
      <c r="B38" s="22" t="s">
        <v>203</v>
      </c>
      <c r="C38" s="19"/>
      <c r="D38" s="39"/>
      <c r="E38" s="30" t="s">
        <v>645</v>
      </c>
      <c r="F38" s="27"/>
    </row>
    <row r="39" spans="2:6" x14ac:dyDescent="0.3">
      <c r="B39" s="22" t="s">
        <v>204</v>
      </c>
      <c r="C39" s="19" t="s">
        <v>537</v>
      </c>
      <c r="D39" s="39">
        <v>122</v>
      </c>
      <c r="E39" s="30" t="s">
        <v>645</v>
      </c>
      <c r="F39" s="27"/>
    </row>
    <row r="40" spans="2:6" x14ac:dyDescent="0.3">
      <c r="B40" s="22" t="s">
        <v>205</v>
      </c>
      <c r="C40" s="19" t="s">
        <v>75</v>
      </c>
      <c r="D40" s="39">
        <v>300</v>
      </c>
      <c r="E40" s="30" t="s">
        <v>645</v>
      </c>
      <c r="F40" s="27"/>
    </row>
    <row r="41" spans="2:6" x14ac:dyDescent="0.3">
      <c r="B41" s="22" t="s">
        <v>206</v>
      </c>
      <c r="C41" s="19"/>
      <c r="D41" s="39"/>
      <c r="E41" s="30" t="s">
        <v>645</v>
      </c>
      <c r="F41" s="27"/>
    </row>
    <row r="42" spans="2:6" x14ac:dyDescent="0.3">
      <c r="B42" s="22" t="s">
        <v>76</v>
      </c>
      <c r="C42" s="19" t="s">
        <v>77</v>
      </c>
      <c r="D42" s="39">
        <v>509</v>
      </c>
      <c r="E42" s="30" t="s">
        <v>645</v>
      </c>
      <c r="F42" s="27"/>
    </row>
    <row r="43" spans="2:6" x14ac:dyDescent="0.3">
      <c r="B43" s="22" t="s">
        <v>207</v>
      </c>
      <c r="C43" s="19"/>
      <c r="D43" s="39"/>
      <c r="E43" s="30" t="s">
        <v>645</v>
      </c>
      <c r="F43" s="27"/>
    </row>
    <row r="44" spans="2:6" x14ac:dyDescent="0.3">
      <c r="B44" s="22" t="s">
        <v>78</v>
      </c>
      <c r="C44" s="19" t="s">
        <v>79</v>
      </c>
      <c r="D44" s="39">
        <v>415</v>
      </c>
      <c r="E44" s="30" t="s">
        <v>645</v>
      </c>
      <c r="F44" s="27"/>
    </row>
    <row r="45" spans="2:6" x14ac:dyDescent="0.3">
      <c r="B45" s="22" t="s">
        <v>208</v>
      </c>
      <c r="C45" s="19"/>
      <c r="D45" s="39"/>
      <c r="E45" s="30" t="s">
        <v>645</v>
      </c>
      <c r="F45" s="27"/>
    </row>
    <row r="46" spans="2:6" x14ac:dyDescent="0.3">
      <c r="B46" s="22" t="s">
        <v>209</v>
      </c>
      <c r="C46" s="19"/>
      <c r="D46" s="39"/>
      <c r="E46" s="30" t="s">
        <v>645</v>
      </c>
      <c r="F46" s="27"/>
    </row>
    <row r="47" spans="2:6" x14ac:dyDescent="0.3">
      <c r="B47" s="22" t="s">
        <v>210</v>
      </c>
      <c r="C47" s="19"/>
      <c r="D47" s="39"/>
      <c r="E47" s="30" t="s">
        <v>645</v>
      </c>
      <c r="F47" s="27"/>
    </row>
    <row r="48" spans="2:6" x14ac:dyDescent="0.3">
      <c r="B48" s="22" t="s">
        <v>211</v>
      </c>
      <c r="C48" s="19"/>
      <c r="D48" s="39"/>
      <c r="E48" s="30" t="s">
        <v>645</v>
      </c>
      <c r="F48" s="27"/>
    </row>
    <row r="49" spans="2:6" x14ac:dyDescent="0.3">
      <c r="B49" s="22" t="s">
        <v>212</v>
      </c>
      <c r="C49" s="19" t="s">
        <v>80</v>
      </c>
      <c r="D49" s="39">
        <v>426</v>
      </c>
      <c r="E49" s="30" t="s">
        <v>645</v>
      </c>
      <c r="F49" s="27"/>
    </row>
    <row r="50" spans="2:6" x14ac:dyDescent="0.3">
      <c r="B50" s="22" t="s">
        <v>213</v>
      </c>
      <c r="C50" s="19"/>
      <c r="D50" s="39"/>
      <c r="E50" s="30" t="s">
        <v>645</v>
      </c>
      <c r="F50" s="27"/>
    </row>
    <row r="51" spans="2:6" x14ac:dyDescent="0.3">
      <c r="B51" s="22" t="s">
        <v>521</v>
      </c>
      <c r="C51" s="19" t="s">
        <v>82</v>
      </c>
      <c r="D51" s="39">
        <v>612.79999999999995</v>
      </c>
      <c r="E51" s="30" t="s">
        <v>645</v>
      </c>
      <c r="F51" s="27" t="s">
        <v>984</v>
      </c>
    </row>
    <row r="52" spans="2:6" x14ac:dyDescent="0.3">
      <c r="B52" s="22" t="s">
        <v>81</v>
      </c>
      <c r="C52" s="19" t="s">
        <v>82</v>
      </c>
      <c r="D52" s="39">
        <v>613</v>
      </c>
      <c r="E52" s="30" t="s">
        <v>645</v>
      </c>
      <c r="F52" s="27"/>
    </row>
    <row r="53" spans="2:6" x14ac:dyDescent="0.3">
      <c r="B53" s="22" t="s">
        <v>214</v>
      </c>
      <c r="C53" s="19" t="s">
        <v>538</v>
      </c>
      <c r="D53" s="39">
        <v>394</v>
      </c>
      <c r="E53" s="30" t="s">
        <v>645</v>
      </c>
      <c r="F53" s="27"/>
    </row>
    <row r="54" spans="2:6" x14ac:dyDescent="0.3">
      <c r="B54" s="22" t="s">
        <v>215</v>
      </c>
      <c r="C54" s="19"/>
      <c r="D54" s="39"/>
      <c r="E54" s="30" t="s">
        <v>645</v>
      </c>
      <c r="F54" s="27"/>
    </row>
    <row r="55" spans="2:6" x14ac:dyDescent="0.3">
      <c r="B55" s="22" t="s">
        <v>83</v>
      </c>
      <c r="C55" s="19" t="s">
        <v>84</v>
      </c>
      <c r="D55" s="39">
        <v>460</v>
      </c>
      <c r="E55" s="30" t="s">
        <v>645</v>
      </c>
      <c r="F55" s="27"/>
    </row>
    <row r="56" spans="2:6" x14ac:dyDescent="0.3">
      <c r="B56" s="22" t="s">
        <v>85</v>
      </c>
      <c r="C56" s="19" t="s">
        <v>86</v>
      </c>
      <c r="D56" s="39">
        <v>616</v>
      </c>
      <c r="E56" s="30" t="s">
        <v>645</v>
      </c>
      <c r="F56" s="27"/>
    </row>
    <row r="57" spans="2:6" x14ac:dyDescent="0.3">
      <c r="B57" s="22" t="s">
        <v>216</v>
      </c>
      <c r="C57" s="19"/>
      <c r="D57" s="39"/>
      <c r="E57" s="30" t="s">
        <v>645</v>
      </c>
      <c r="F57" s="27"/>
    </row>
    <row r="58" spans="2:6" x14ac:dyDescent="0.3">
      <c r="B58" s="22" t="s">
        <v>217</v>
      </c>
      <c r="C58" s="19"/>
      <c r="D58" s="39"/>
      <c r="E58" s="30" t="s">
        <v>645</v>
      </c>
      <c r="F58" s="27"/>
    </row>
    <row r="59" spans="2:6" x14ac:dyDescent="0.3">
      <c r="B59" s="22" t="s">
        <v>218</v>
      </c>
      <c r="C59" s="19"/>
      <c r="D59" s="39"/>
      <c r="E59" s="30" t="s">
        <v>645</v>
      </c>
      <c r="F59" s="27"/>
    </row>
    <row r="60" spans="2:6" x14ac:dyDescent="0.3">
      <c r="B60" s="22" t="s">
        <v>87</v>
      </c>
      <c r="C60" s="19" t="s">
        <v>539</v>
      </c>
      <c r="D60" s="39">
        <v>299</v>
      </c>
      <c r="E60" s="30" t="s">
        <v>645</v>
      </c>
      <c r="F60" s="27"/>
    </row>
    <row r="61" spans="2:6" x14ac:dyDescent="0.3">
      <c r="B61" s="22" t="s">
        <v>219</v>
      </c>
      <c r="C61" s="19" t="s">
        <v>88</v>
      </c>
      <c r="D61" s="39">
        <v>367</v>
      </c>
      <c r="E61" s="30" t="s">
        <v>645</v>
      </c>
      <c r="F61" s="27"/>
    </row>
    <row r="62" spans="2:6" x14ac:dyDescent="0.3">
      <c r="B62" s="22" t="s">
        <v>540</v>
      </c>
      <c r="C62" s="19"/>
      <c r="D62" s="39"/>
      <c r="E62" s="30" t="s">
        <v>645</v>
      </c>
      <c r="F62" s="27"/>
    </row>
    <row r="63" spans="2:6" x14ac:dyDescent="0.3">
      <c r="B63" s="22" t="s">
        <v>220</v>
      </c>
      <c r="C63" s="19" t="s">
        <v>89</v>
      </c>
      <c r="D63" s="39">
        <v>382</v>
      </c>
      <c r="E63" s="30" t="s">
        <v>645</v>
      </c>
      <c r="F63" s="27"/>
    </row>
    <row r="64" spans="2:6" x14ac:dyDescent="0.3">
      <c r="B64" s="22" t="s">
        <v>221</v>
      </c>
      <c r="C64" s="19"/>
      <c r="D64" s="39"/>
      <c r="E64" s="30" t="s">
        <v>645</v>
      </c>
      <c r="F64" s="27"/>
    </row>
    <row r="65" spans="2:8" x14ac:dyDescent="0.3">
      <c r="B65" s="22" t="s">
        <v>90</v>
      </c>
      <c r="C65" s="19" t="s">
        <v>91</v>
      </c>
      <c r="D65" s="39">
        <v>420</v>
      </c>
      <c r="E65" s="30" t="s">
        <v>645</v>
      </c>
      <c r="F65" s="27"/>
    </row>
    <row r="66" spans="2:8" x14ac:dyDescent="0.3">
      <c r="B66" s="22" t="s">
        <v>222</v>
      </c>
      <c r="C66" s="19"/>
      <c r="D66" s="39"/>
      <c r="E66" s="30" t="s">
        <v>645</v>
      </c>
      <c r="F66" s="27"/>
    </row>
    <row r="67" spans="2:8" x14ac:dyDescent="0.3">
      <c r="B67" s="22" t="s">
        <v>223</v>
      </c>
      <c r="C67" s="19"/>
      <c r="D67" s="39"/>
      <c r="E67" s="30" t="s">
        <v>645</v>
      </c>
      <c r="F67" s="27"/>
    </row>
    <row r="68" spans="2:8" x14ac:dyDescent="0.3">
      <c r="B68" s="22" t="s">
        <v>92</v>
      </c>
      <c r="C68" s="19" t="s">
        <v>93</v>
      </c>
      <c r="D68" s="39">
        <v>137</v>
      </c>
      <c r="E68" s="30" t="s">
        <v>645</v>
      </c>
      <c r="F68" s="27"/>
    </row>
    <row r="69" spans="2:8" x14ac:dyDescent="0.3">
      <c r="B69" s="22" t="s">
        <v>94</v>
      </c>
      <c r="C69" s="19" t="s">
        <v>95</v>
      </c>
      <c r="D69" s="39">
        <v>448</v>
      </c>
      <c r="E69" s="30" t="s">
        <v>645</v>
      </c>
      <c r="F69" s="27"/>
    </row>
    <row r="70" spans="2:8" x14ac:dyDescent="0.3">
      <c r="B70" s="22" t="s">
        <v>96</v>
      </c>
      <c r="C70" s="19" t="s">
        <v>97</v>
      </c>
      <c r="D70" s="39">
        <v>283</v>
      </c>
      <c r="E70" s="30" t="s">
        <v>645</v>
      </c>
      <c r="F70" s="27"/>
    </row>
    <row r="71" spans="2:8" x14ac:dyDescent="0.3">
      <c r="B71" s="22" t="s">
        <v>98</v>
      </c>
      <c r="C71" s="19" t="s">
        <v>982</v>
      </c>
      <c r="D71" s="39">
        <v>401</v>
      </c>
      <c r="E71" s="30" t="s">
        <v>645</v>
      </c>
      <c r="F71" s="27" t="s">
        <v>983</v>
      </c>
    </row>
    <row r="72" spans="2:8" x14ac:dyDescent="0.3">
      <c r="B72" s="22" t="s">
        <v>224</v>
      </c>
      <c r="C72" s="19"/>
      <c r="D72" s="39"/>
      <c r="E72" s="30" t="s">
        <v>645</v>
      </c>
      <c r="F72" s="27"/>
    </row>
    <row r="73" spans="2:8" x14ac:dyDescent="0.3">
      <c r="B73" s="22" t="s">
        <v>225</v>
      </c>
      <c r="C73" s="19"/>
      <c r="D73" s="39"/>
      <c r="E73" s="30" t="s">
        <v>645</v>
      </c>
      <c r="F73" s="27"/>
    </row>
    <row r="74" spans="2:8" x14ac:dyDescent="0.3">
      <c r="B74" s="22" t="s">
        <v>226</v>
      </c>
      <c r="C74" s="19" t="s">
        <v>99</v>
      </c>
      <c r="D74" s="39">
        <v>395</v>
      </c>
      <c r="E74" s="30" t="s">
        <v>645</v>
      </c>
      <c r="F74" s="27"/>
    </row>
    <row r="75" spans="2:8" x14ac:dyDescent="0.3">
      <c r="B75" s="22" t="s">
        <v>100</v>
      </c>
      <c r="C75" s="19" t="s">
        <v>101</v>
      </c>
      <c r="D75" s="39">
        <v>245</v>
      </c>
      <c r="E75" s="30" t="s">
        <v>645</v>
      </c>
      <c r="F75" s="154" t="s">
        <v>1021</v>
      </c>
      <c r="G75" s="153"/>
      <c r="H75"/>
    </row>
    <row r="76" spans="2:8" ht="17.25" customHeight="1" x14ac:dyDescent="0.3">
      <c r="B76" s="22" t="s">
        <v>102</v>
      </c>
      <c r="C76" s="19" t="s">
        <v>103</v>
      </c>
      <c r="D76" s="39">
        <v>172</v>
      </c>
      <c r="E76" s="30" t="s">
        <v>645</v>
      </c>
      <c r="F76" s="152"/>
      <c r="G76" s="482"/>
      <c r="H76" s="482"/>
    </row>
    <row r="77" spans="2:8" ht="17.25" customHeight="1" x14ac:dyDescent="0.3">
      <c r="B77" s="22" t="s">
        <v>105</v>
      </c>
      <c r="C77" s="19" t="s">
        <v>104</v>
      </c>
      <c r="D77" s="39">
        <v>162</v>
      </c>
      <c r="E77" s="30" t="s">
        <v>645</v>
      </c>
      <c r="F77" s="152"/>
      <c r="G77" s="483"/>
      <c r="H77" s="483"/>
    </row>
    <row r="78" spans="2:8" x14ac:dyDescent="0.3">
      <c r="B78" s="22" t="s">
        <v>227</v>
      </c>
      <c r="C78" s="19" t="s">
        <v>106</v>
      </c>
      <c r="D78" s="39">
        <v>267</v>
      </c>
      <c r="E78" s="30" t="s">
        <v>645</v>
      </c>
      <c r="F78" s="27"/>
    </row>
    <row r="79" spans="2:8" x14ac:dyDescent="0.3">
      <c r="B79" s="22" t="s">
        <v>228</v>
      </c>
      <c r="C79" s="19" t="s">
        <v>107</v>
      </c>
      <c r="D79" s="39">
        <v>321</v>
      </c>
      <c r="E79" s="30" t="s">
        <v>645</v>
      </c>
      <c r="F79" s="27"/>
    </row>
    <row r="80" spans="2:8" x14ac:dyDescent="0.3">
      <c r="B80" s="22" t="s">
        <v>229</v>
      </c>
      <c r="C80" s="19" t="s">
        <v>108</v>
      </c>
      <c r="D80" s="39">
        <v>296</v>
      </c>
      <c r="E80" s="30" t="s">
        <v>645</v>
      </c>
      <c r="F80" s="27"/>
    </row>
    <row r="81" spans="2:6" x14ac:dyDescent="0.3">
      <c r="B81" s="22" t="s">
        <v>109</v>
      </c>
      <c r="C81" s="19" t="s">
        <v>110</v>
      </c>
      <c r="D81" s="39">
        <v>291</v>
      </c>
      <c r="E81" s="30" t="s">
        <v>645</v>
      </c>
      <c r="F81" s="27"/>
    </row>
    <row r="82" spans="2:6" x14ac:dyDescent="0.3">
      <c r="B82" s="22" t="s">
        <v>111</v>
      </c>
      <c r="C82" s="19" t="s">
        <v>112</v>
      </c>
      <c r="D82" s="39">
        <v>210</v>
      </c>
      <c r="E82" s="30" t="s">
        <v>645</v>
      </c>
      <c r="F82" s="27" t="s">
        <v>248</v>
      </c>
    </row>
    <row r="83" spans="2:6" x14ac:dyDescent="0.3">
      <c r="B83" s="22" t="s">
        <v>230</v>
      </c>
      <c r="C83" s="19"/>
      <c r="D83" s="39"/>
      <c r="E83" s="30" t="s">
        <v>645</v>
      </c>
      <c r="F83" s="27"/>
    </row>
    <row r="84" spans="2:6" x14ac:dyDescent="0.3">
      <c r="B84" s="22" t="s">
        <v>231</v>
      </c>
      <c r="C84" s="19"/>
      <c r="D84" s="39"/>
      <c r="E84" s="30" t="s">
        <v>645</v>
      </c>
      <c r="F84" s="27"/>
    </row>
    <row r="85" spans="2:6" x14ac:dyDescent="0.3">
      <c r="B85" s="22" t="s">
        <v>232</v>
      </c>
      <c r="C85" s="19"/>
      <c r="D85" s="39"/>
      <c r="E85" s="30" t="s">
        <v>645</v>
      </c>
      <c r="F85" s="27"/>
    </row>
    <row r="86" spans="2:6" x14ac:dyDescent="0.3">
      <c r="B86" s="22" t="s">
        <v>233</v>
      </c>
      <c r="C86" s="19"/>
      <c r="D86" s="39"/>
      <c r="E86" s="30" t="s">
        <v>645</v>
      </c>
      <c r="F86" s="27"/>
    </row>
    <row r="87" spans="2:6" x14ac:dyDescent="0.3">
      <c r="B87" s="22" t="s">
        <v>113</v>
      </c>
      <c r="C87" s="19" t="s">
        <v>114</v>
      </c>
      <c r="D87" s="39">
        <v>537</v>
      </c>
      <c r="E87" s="30" t="s">
        <v>645</v>
      </c>
      <c r="F87" s="27" t="s">
        <v>1080</v>
      </c>
    </row>
    <row r="88" spans="2:6" x14ac:dyDescent="0.3">
      <c r="B88" s="22" t="s">
        <v>115</v>
      </c>
      <c r="C88" s="19" t="s">
        <v>116</v>
      </c>
      <c r="D88" s="39">
        <v>366</v>
      </c>
      <c r="E88" s="30" t="s">
        <v>645</v>
      </c>
      <c r="F88" s="27" t="s">
        <v>995</v>
      </c>
    </row>
    <row r="89" spans="2:6" x14ac:dyDescent="0.3">
      <c r="B89" s="22" t="s">
        <v>234</v>
      </c>
      <c r="C89" s="19"/>
      <c r="D89" s="39"/>
      <c r="E89" s="30" t="s">
        <v>645</v>
      </c>
      <c r="F89" s="27"/>
    </row>
    <row r="90" spans="2:6" x14ac:dyDescent="0.3">
      <c r="B90" s="22" t="s">
        <v>235</v>
      </c>
      <c r="C90" s="19"/>
      <c r="D90" s="39"/>
      <c r="E90" s="30" t="s">
        <v>645</v>
      </c>
      <c r="F90" s="27"/>
    </row>
    <row r="91" spans="2:6" x14ac:dyDescent="0.3">
      <c r="B91" s="22" t="s">
        <v>236</v>
      </c>
      <c r="C91" s="19" t="s">
        <v>117</v>
      </c>
      <c r="D91" s="39">
        <v>41</v>
      </c>
      <c r="E91" s="30" t="s">
        <v>645</v>
      </c>
      <c r="F91" s="27"/>
    </row>
    <row r="92" spans="2:6" x14ac:dyDescent="0.3">
      <c r="B92" s="22" t="s">
        <v>237</v>
      </c>
      <c r="C92" s="19"/>
      <c r="D92" s="39"/>
      <c r="E92" s="30" t="s">
        <v>645</v>
      </c>
      <c r="F92" s="27"/>
    </row>
    <row r="93" spans="2:6" x14ac:dyDescent="0.3">
      <c r="B93" s="22" t="s">
        <v>118</v>
      </c>
      <c r="C93" s="19" t="s">
        <v>119</v>
      </c>
      <c r="D93" s="39">
        <v>138</v>
      </c>
      <c r="E93" s="30" t="s">
        <v>645</v>
      </c>
      <c r="F93" s="27" t="s">
        <v>1071</v>
      </c>
    </row>
    <row r="94" spans="2:6" x14ac:dyDescent="0.3">
      <c r="B94" s="22" t="s">
        <v>120</v>
      </c>
      <c r="C94" s="19" t="s">
        <v>121</v>
      </c>
      <c r="D94" s="39">
        <v>435</v>
      </c>
      <c r="E94" s="30" t="s">
        <v>645</v>
      </c>
      <c r="F94" s="27" t="s">
        <v>239</v>
      </c>
    </row>
    <row r="95" spans="2:6" x14ac:dyDescent="0.3">
      <c r="B95" s="22" t="s">
        <v>240</v>
      </c>
      <c r="C95" s="19" t="s">
        <v>541</v>
      </c>
      <c r="D95" s="39">
        <v>237</v>
      </c>
      <c r="E95" s="30" t="s">
        <v>645</v>
      </c>
      <c r="F95" s="27" t="s">
        <v>241</v>
      </c>
    </row>
    <row r="96" spans="2:6" x14ac:dyDescent="0.3">
      <c r="B96" s="22" t="s">
        <v>122</v>
      </c>
      <c r="C96" s="19" t="s">
        <v>123</v>
      </c>
      <c r="D96" s="39">
        <v>390</v>
      </c>
      <c r="E96" s="30" t="s">
        <v>645</v>
      </c>
      <c r="F96" s="27" t="s">
        <v>242</v>
      </c>
    </row>
    <row r="97" spans="2:6" x14ac:dyDescent="0.3">
      <c r="B97" s="22" t="s">
        <v>124</v>
      </c>
      <c r="C97" s="19" t="s">
        <v>125</v>
      </c>
      <c r="D97" s="39">
        <v>346</v>
      </c>
      <c r="E97" s="30" t="s">
        <v>645</v>
      </c>
      <c r="F97" s="27" t="s">
        <v>243</v>
      </c>
    </row>
    <row r="98" spans="2:6" x14ac:dyDescent="0.3">
      <c r="B98" s="22" t="s">
        <v>126</v>
      </c>
      <c r="C98" s="19" t="s">
        <v>128</v>
      </c>
      <c r="D98" s="39">
        <v>551</v>
      </c>
      <c r="E98" s="30" t="s">
        <v>645</v>
      </c>
      <c r="F98" s="27" t="s">
        <v>243</v>
      </c>
    </row>
    <row r="99" spans="2:6" x14ac:dyDescent="0.3">
      <c r="B99" s="22" t="s">
        <v>542</v>
      </c>
      <c r="C99" s="19" t="s">
        <v>127</v>
      </c>
      <c r="D99" s="39">
        <v>541</v>
      </c>
      <c r="E99" s="30" t="s">
        <v>645</v>
      </c>
      <c r="F99" s="27"/>
    </row>
    <row r="100" spans="2:6" x14ac:dyDescent="0.3">
      <c r="B100" s="22" t="s">
        <v>244</v>
      </c>
      <c r="C100" s="19" t="s">
        <v>133</v>
      </c>
      <c r="D100" s="39">
        <v>449</v>
      </c>
      <c r="E100" s="30" t="s">
        <v>645</v>
      </c>
      <c r="F100" s="27" t="s">
        <v>245</v>
      </c>
    </row>
    <row r="101" spans="2:6" x14ac:dyDescent="0.3">
      <c r="B101" s="22" t="s">
        <v>721</v>
      </c>
      <c r="C101" s="19" t="s">
        <v>722</v>
      </c>
      <c r="D101" s="39">
        <v>210</v>
      </c>
      <c r="E101" s="30" t="s">
        <v>645</v>
      </c>
      <c r="F101" s="27" t="s">
        <v>723</v>
      </c>
    </row>
    <row r="102" spans="2:6" x14ac:dyDescent="0.3">
      <c r="B102" s="22" t="s">
        <v>246</v>
      </c>
      <c r="C102" s="19"/>
      <c r="D102" s="39"/>
      <c r="E102" s="30" t="s">
        <v>645</v>
      </c>
      <c r="F102" s="27" t="s">
        <v>247</v>
      </c>
    </row>
    <row r="103" spans="2:6" x14ac:dyDescent="0.3">
      <c r="B103" s="22" t="s">
        <v>129</v>
      </c>
      <c r="C103" s="19" t="s">
        <v>130</v>
      </c>
      <c r="D103" s="39">
        <v>283</v>
      </c>
      <c r="E103" s="30" t="s">
        <v>644</v>
      </c>
      <c r="F103" s="27" t="s">
        <v>1009</v>
      </c>
    </row>
    <row r="104" spans="2:6" x14ac:dyDescent="0.3">
      <c r="B104" s="22" t="s">
        <v>902</v>
      </c>
      <c r="C104" s="19" t="s">
        <v>903</v>
      </c>
      <c r="D104" s="39">
        <v>241.5</v>
      </c>
      <c r="E104" s="30" t="s">
        <v>904</v>
      </c>
      <c r="F104" s="27" t="s">
        <v>905</v>
      </c>
    </row>
    <row r="105" spans="2:6" x14ac:dyDescent="0.3">
      <c r="B105" s="22" t="s">
        <v>543</v>
      </c>
      <c r="C105" s="19" t="s">
        <v>981</v>
      </c>
      <c r="D105" s="39">
        <v>73</v>
      </c>
      <c r="E105" s="30" t="s">
        <v>645</v>
      </c>
      <c r="F105" s="27" t="s">
        <v>1006</v>
      </c>
    </row>
    <row r="106" spans="2:6" x14ac:dyDescent="0.3">
      <c r="B106" s="19" t="s">
        <v>923</v>
      </c>
      <c r="C106" s="19" t="s">
        <v>924</v>
      </c>
      <c r="D106" s="39">
        <v>375</v>
      </c>
      <c r="E106" s="131" t="s">
        <v>645</v>
      </c>
      <c r="F106" s="132" t="s">
        <v>925</v>
      </c>
    </row>
    <row r="107" spans="2:6" x14ac:dyDescent="0.3">
      <c r="B107" s="22" t="s">
        <v>131</v>
      </c>
      <c r="C107" s="19" t="s">
        <v>132</v>
      </c>
      <c r="D107" s="39">
        <v>685</v>
      </c>
      <c r="E107" s="30" t="s">
        <v>645</v>
      </c>
      <c r="F107" s="27" t="s">
        <v>1079</v>
      </c>
    </row>
    <row r="108" spans="2:6" x14ac:dyDescent="0.3">
      <c r="B108" s="22" t="s">
        <v>134</v>
      </c>
      <c r="C108" s="19" t="s">
        <v>544</v>
      </c>
      <c r="D108" s="39">
        <v>323</v>
      </c>
      <c r="E108" s="30" t="s">
        <v>645</v>
      </c>
      <c r="F108" s="27" t="s">
        <v>249</v>
      </c>
    </row>
    <row r="109" spans="2:6" x14ac:dyDescent="0.3">
      <c r="B109" s="22" t="s">
        <v>136</v>
      </c>
      <c r="C109" s="19" t="s">
        <v>137</v>
      </c>
      <c r="D109" s="39">
        <v>1260</v>
      </c>
      <c r="E109" s="30" t="s">
        <v>645</v>
      </c>
      <c r="F109" s="27" t="s">
        <v>545</v>
      </c>
    </row>
    <row r="110" spans="2:6" x14ac:dyDescent="0.3">
      <c r="B110" s="22" t="s">
        <v>138</v>
      </c>
      <c r="C110" s="19" t="s">
        <v>546</v>
      </c>
      <c r="D110" s="39">
        <v>357</v>
      </c>
      <c r="E110" s="30" t="s">
        <v>645</v>
      </c>
      <c r="F110" s="27" t="s">
        <v>250</v>
      </c>
    </row>
    <row r="111" spans="2:6" x14ac:dyDescent="0.3">
      <c r="B111" s="22" t="s">
        <v>139</v>
      </c>
      <c r="C111" s="19" t="s">
        <v>853</v>
      </c>
      <c r="D111" s="39">
        <v>286</v>
      </c>
      <c r="E111" s="30" t="s">
        <v>645</v>
      </c>
      <c r="F111" s="27" t="s">
        <v>951</v>
      </c>
    </row>
    <row r="112" spans="2:6" x14ac:dyDescent="0.3">
      <c r="B112" s="22" t="s">
        <v>140</v>
      </c>
      <c r="C112" s="19"/>
      <c r="D112" s="39"/>
      <c r="E112" s="30" t="s">
        <v>645</v>
      </c>
      <c r="F112" s="27"/>
    </row>
    <row r="113" spans="2:6" x14ac:dyDescent="0.3">
      <c r="B113" s="22" t="s">
        <v>251</v>
      </c>
      <c r="C113" s="19"/>
      <c r="D113" s="39"/>
      <c r="E113" s="30" t="s">
        <v>645</v>
      </c>
      <c r="F113" s="27" t="s">
        <v>252</v>
      </c>
    </row>
    <row r="114" spans="2:6" x14ac:dyDescent="0.3">
      <c r="B114" s="22" t="s">
        <v>141</v>
      </c>
      <c r="C114" s="19" t="s">
        <v>916</v>
      </c>
      <c r="D114" s="39">
        <v>248</v>
      </c>
      <c r="E114" s="30" t="s">
        <v>645</v>
      </c>
      <c r="F114" s="27" t="s">
        <v>989</v>
      </c>
    </row>
    <row r="115" spans="2:6" x14ac:dyDescent="0.3">
      <c r="B115" s="22" t="s">
        <v>142</v>
      </c>
      <c r="C115" s="19" t="s">
        <v>547</v>
      </c>
      <c r="D115" s="39">
        <v>394</v>
      </c>
      <c r="E115" s="30" t="s">
        <v>645</v>
      </c>
      <c r="F115" s="27" t="s">
        <v>1068</v>
      </c>
    </row>
    <row r="116" spans="2:6" x14ac:dyDescent="0.3">
      <c r="B116" s="22" t="s">
        <v>254</v>
      </c>
      <c r="C116" s="19"/>
      <c r="D116" s="39"/>
      <c r="E116" s="30" t="s">
        <v>645</v>
      </c>
      <c r="F116" s="27"/>
    </row>
    <row r="117" spans="2:6" x14ac:dyDescent="0.3">
      <c r="B117" s="22" t="s">
        <v>255</v>
      </c>
      <c r="C117" s="19" t="s">
        <v>952</v>
      </c>
      <c r="D117" s="39"/>
      <c r="E117" s="30" t="s">
        <v>645</v>
      </c>
      <c r="F117" s="27"/>
    </row>
    <row r="118" spans="2:6" x14ac:dyDescent="0.3">
      <c r="B118" s="22" t="s">
        <v>143</v>
      </c>
      <c r="C118" s="19" t="s">
        <v>548</v>
      </c>
      <c r="D118" s="39">
        <v>419</v>
      </c>
      <c r="E118" s="30" t="s">
        <v>645</v>
      </c>
      <c r="F118" s="27"/>
    </row>
    <row r="119" spans="2:6" x14ac:dyDescent="0.3">
      <c r="B119" s="22" t="s">
        <v>256</v>
      </c>
      <c r="C119" s="19"/>
      <c r="D119" s="39"/>
      <c r="E119" s="30" t="s">
        <v>645</v>
      </c>
      <c r="F119" s="27"/>
    </row>
    <row r="120" spans="2:6" x14ac:dyDescent="0.3">
      <c r="B120" s="22" t="s">
        <v>257</v>
      </c>
      <c r="C120" s="19"/>
      <c r="D120" s="39"/>
      <c r="E120" s="30" t="s">
        <v>645</v>
      </c>
      <c r="F120" s="27"/>
    </row>
    <row r="121" spans="2:6" x14ac:dyDescent="0.3">
      <c r="B121" s="22" t="s">
        <v>258</v>
      </c>
      <c r="C121" s="19"/>
      <c r="D121" s="39"/>
      <c r="E121" s="30" t="s">
        <v>645</v>
      </c>
      <c r="F121" s="27"/>
    </row>
    <row r="122" spans="2:6" x14ac:dyDescent="0.3">
      <c r="B122" s="22" t="s">
        <v>259</v>
      </c>
      <c r="C122" s="19"/>
      <c r="D122" s="39"/>
      <c r="E122" s="30" t="s">
        <v>645</v>
      </c>
      <c r="F122" s="27"/>
    </row>
    <row r="123" spans="2:6" x14ac:dyDescent="0.3">
      <c r="B123" s="22" t="s">
        <v>260</v>
      </c>
      <c r="C123" s="19" t="s">
        <v>549</v>
      </c>
      <c r="D123" s="39">
        <v>226</v>
      </c>
      <c r="E123" s="30" t="s">
        <v>644</v>
      </c>
      <c r="F123" s="27" t="s">
        <v>1067</v>
      </c>
    </row>
    <row r="124" spans="2:6" x14ac:dyDescent="0.3">
      <c r="B124" s="22" t="s">
        <v>261</v>
      </c>
      <c r="C124" s="19"/>
      <c r="D124" s="39"/>
      <c r="E124" s="30" t="s">
        <v>645</v>
      </c>
      <c r="F124" s="27"/>
    </row>
    <row r="125" spans="2:6" x14ac:dyDescent="0.3">
      <c r="B125" s="22" t="s">
        <v>144</v>
      </c>
      <c r="C125" s="19" t="s">
        <v>550</v>
      </c>
      <c r="D125" s="39">
        <v>569</v>
      </c>
      <c r="E125" s="30" t="s">
        <v>645</v>
      </c>
      <c r="F125" s="27"/>
    </row>
    <row r="126" spans="2:6" x14ac:dyDescent="0.3">
      <c r="B126" s="22" t="s">
        <v>145</v>
      </c>
      <c r="C126" s="19" t="s">
        <v>551</v>
      </c>
      <c r="D126" s="39">
        <v>186</v>
      </c>
      <c r="E126" s="30" t="s">
        <v>644</v>
      </c>
      <c r="F126" s="27" t="s">
        <v>1047</v>
      </c>
    </row>
    <row r="127" spans="2:6" x14ac:dyDescent="0.3">
      <c r="B127" s="22" t="s">
        <v>263</v>
      </c>
      <c r="C127" s="19"/>
      <c r="D127" s="39"/>
      <c r="E127" s="30" t="s">
        <v>645</v>
      </c>
      <c r="F127" s="27"/>
    </row>
    <row r="128" spans="2:6" x14ac:dyDescent="0.3">
      <c r="B128" s="22" t="s">
        <v>264</v>
      </c>
      <c r="C128" s="19"/>
      <c r="D128" s="39"/>
      <c r="E128" s="30" t="s">
        <v>645</v>
      </c>
      <c r="F128" s="27"/>
    </row>
    <row r="129" spans="2:6" x14ac:dyDescent="0.3">
      <c r="B129" s="22" t="s">
        <v>265</v>
      </c>
      <c r="C129" s="19"/>
      <c r="D129" s="39"/>
      <c r="E129" s="30" t="s">
        <v>645</v>
      </c>
      <c r="F129" s="27"/>
    </row>
    <row r="130" spans="2:6" x14ac:dyDescent="0.3">
      <c r="B130" s="22" t="s">
        <v>146</v>
      </c>
      <c r="C130" s="19" t="s">
        <v>552</v>
      </c>
      <c r="D130" s="39">
        <v>285</v>
      </c>
      <c r="E130" s="30" t="s">
        <v>645</v>
      </c>
      <c r="F130" s="27"/>
    </row>
    <row r="131" spans="2:6" x14ac:dyDescent="0.3">
      <c r="B131" s="22" t="s">
        <v>147</v>
      </c>
      <c r="C131" s="19" t="s">
        <v>553</v>
      </c>
      <c r="D131" s="39">
        <v>240</v>
      </c>
      <c r="E131" s="30" t="s">
        <v>645</v>
      </c>
      <c r="F131" s="27"/>
    </row>
    <row r="132" spans="2:6" x14ac:dyDescent="0.3">
      <c r="B132" s="22" t="s">
        <v>262</v>
      </c>
      <c r="C132" s="19" t="s">
        <v>554</v>
      </c>
      <c r="D132" s="39">
        <v>350</v>
      </c>
      <c r="E132" s="30" t="s">
        <v>645</v>
      </c>
      <c r="F132" s="27" t="s">
        <v>1065</v>
      </c>
    </row>
    <row r="133" spans="2:6" x14ac:dyDescent="0.3">
      <c r="B133" s="22" t="s">
        <v>148</v>
      </c>
      <c r="C133" s="19" t="s">
        <v>554</v>
      </c>
      <c r="D133" s="39">
        <v>347</v>
      </c>
      <c r="E133" s="30" t="s">
        <v>645</v>
      </c>
      <c r="F133" s="27"/>
    </row>
    <row r="134" spans="2:6" x14ac:dyDescent="0.3">
      <c r="B134" s="22" t="s">
        <v>266</v>
      </c>
      <c r="C134" s="19" t="s">
        <v>555</v>
      </c>
      <c r="D134" s="39">
        <v>229</v>
      </c>
      <c r="E134" s="30" t="s">
        <v>645</v>
      </c>
      <c r="F134" s="27"/>
    </row>
    <row r="135" spans="2:6" ht="19.5" customHeight="1" x14ac:dyDescent="0.3">
      <c r="B135" s="22" t="s">
        <v>267</v>
      </c>
      <c r="C135" s="19"/>
      <c r="D135" s="39"/>
      <c r="E135" s="30" t="s">
        <v>645</v>
      </c>
      <c r="F135" s="27"/>
    </row>
    <row r="136" spans="2:6" x14ac:dyDescent="0.3">
      <c r="B136" s="22" t="s">
        <v>268</v>
      </c>
      <c r="C136" s="19"/>
      <c r="D136" s="39"/>
      <c r="E136" s="30" t="s">
        <v>645</v>
      </c>
      <c r="F136" s="27"/>
    </row>
    <row r="137" spans="2:6" x14ac:dyDescent="0.3">
      <c r="B137" s="22" t="s">
        <v>269</v>
      </c>
      <c r="C137" s="19"/>
      <c r="D137" s="39"/>
      <c r="E137" s="30" t="s">
        <v>645</v>
      </c>
      <c r="F137" s="27"/>
    </row>
    <row r="138" spans="2:6" x14ac:dyDescent="0.3">
      <c r="B138" s="22" t="s">
        <v>149</v>
      </c>
      <c r="C138" s="19" t="s">
        <v>557</v>
      </c>
      <c r="D138" s="39">
        <v>438</v>
      </c>
      <c r="E138" s="30" t="s">
        <v>645</v>
      </c>
      <c r="F138" s="27" t="s">
        <v>556</v>
      </c>
    </row>
    <row r="139" spans="2:6" ht="23.25" customHeight="1" x14ac:dyDescent="0.3">
      <c r="B139" s="22" t="s">
        <v>150</v>
      </c>
      <c r="C139" s="19" t="s">
        <v>558</v>
      </c>
      <c r="D139" s="39">
        <v>285</v>
      </c>
      <c r="E139" s="30" t="s">
        <v>645</v>
      </c>
      <c r="F139" s="27"/>
    </row>
    <row r="140" spans="2:6" x14ac:dyDescent="0.3">
      <c r="B140" s="22" t="s">
        <v>270</v>
      </c>
      <c r="C140" s="19" t="s">
        <v>559</v>
      </c>
      <c r="D140" s="39">
        <v>620</v>
      </c>
      <c r="E140" s="30" t="s">
        <v>645</v>
      </c>
      <c r="F140" s="27"/>
    </row>
    <row r="141" spans="2:6" x14ac:dyDescent="0.3">
      <c r="B141" s="22" t="s">
        <v>151</v>
      </c>
      <c r="C141" s="19"/>
      <c r="D141" s="39"/>
      <c r="E141" s="30" t="s">
        <v>645</v>
      </c>
      <c r="F141" s="27" t="s">
        <v>188</v>
      </c>
    </row>
    <row r="142" spans="2:6" x14ac:dyDescent="0.3">
      <c r="B142" s="22" t="s">
        <v>271</v>
      </c>
      <c r="C142" s="19"/>
      <c r="D142" s="39"/>
      <c r="E142" s="30" t="s">
        <v>645</v>
      </c>
      <c r="F142" s="27"/>
    </row>
    <row r="143" spans="2:6" x14ac:dyDescent="0.3">
      <c r="B143" s="22" t="s">
        <v>272</v>
      </c>
      <c r="C143" s="19" t="s">
        <v>560</v>
      </c>
      <c r="D143" s="39">
        <v>139</v>
      </c>
      <c r="E143" s="30" t="s">
        <v>645</v>
      </c>
      <c r="F143" s="27"/>
    </row>
    <row r="144" spans="2:6" x14ac:dyDescent="0.3">
      <c r="B144" s="22" t="s">
        <v>152</v>
      </c>
      <c r="C144" s="19" t="s">
        <v>561</v>
      </c>
      <c r="D144" s="39">
        <v>409</v>
      </c>
      <c r="E144" s="30" t="s">
        <v>645</v>
      </c>
      <c r="F144" s="27" t="s">
        <v>899</v>
      </c>
    </row>
    <row r="145" spans="2:6" x14ac:dyDescent="0.3">
      <c r="B145" s="22" t="s">
        <v>153</v>
      </c>
      <c r="C145" s="19" t="s">
        <v>562</v>
      </c>
      <c r="D145" s="39">
        <v>365</v>
      </c>
      <c r="E145" s="30" t="s">
        <v>644</v>
      </c>
      <c r="F145" s="27" t="s">
        <v>1063</v>
      </c>
    </row>
    <row r="146" spans="2:6" x14ac:dyDescent="0.3">
      <c r="B146" s="22" t="s">
        <v>273</v>
      </c>
      <c r="C146" s="19"/>
      <c r="D146" s="39"/>
      <c r="E146" s="30" t="s">
        <v>645</v>
      </c>
      <c r="F146" s="27" t="s">
        <v>188</v>
      </c>
    </row>
    <row r="147" spans="2:6" x14ac:dyDescent="0.3">
      <c r="B147" s="22" t="s">
        <v>886</v>
      </c>
      <c r="C147" s="19" t="s">
        <v>887</v>
      </c>
      <c r="D147" s="39">
        <v>215</v>
      </c>
      <c r="E147" s="30" t="s">
        <v>644</v>
      </c>
      <c r="F147" s="27" t="s">
        <v>909</v>
      </c>
    </row>
    <row r="148" spans="2:6" x14ac:dyDescent="0.3">
      <c r="B148" s="22" t="s">
        <v>274</v>
      </c>
      <c r="C148" s="19" t="s">
        <v>563</v>
      </c>
      <c r="D148" s="39">
        <v>396</v>
      </c>
      <c r="E148" s="30" t="s">
        <v>645</v>
      </c>
      <c r="F148" s="27" t="s">
        <v>659</v>
      </c>
    </row>
    <row r="149" spans="2:6" x14ac:dyDescent="0.3">
      <c r="B149" s="22" t="s">
        <v>154</v>
      </c>
      <c r="C149" s="19" t="s">
        <v>564</v>
      </c>
      <c r="D149" s="39">
        <v>297</v>
      </c>
      <c r="E149" s="30" t="s">
        <v>645</v>
      </c>
      <c r="F149" s="27"/>
    </row>
    <row r="150" spans="2:6" x14ac:dyDescent="0.3">
      <c r="B150" s="22" t="s">
        <v>275</v>
      </c>
      <c r="C150" s="19"/>
      <c r="D150" s="39"/>
      <c r="E150" s="30" t="s">
        <v>645</v>
      </c>
      <c r="F150" s="27"/>
    </row>
    <row r="151" spans="2:6" x14ac:dyDescent="0.3">
      <c r="B151" s="22" t="s">
        <v>276</v>
      </c>
      <c r="C151" s="19"/>
      <c r="D151" s="39"/>
      <c r="E151" s="30" t="s">
        <v>645</v>
      </c>
      <c r="F151" s="27"/>
    </row>
    <row r="152" spans="2:6" x14ac:dyDescent="0.3">
      <c r="B152" s="22" t="s">
        <v>155</v>
      </c>
      <c r="C152" s="19" t="s">
        <v>565</v>
      </c>
      <c r="D152" s="39">
        <v>142</v>
      </c>
      <c r="E152" s="30" t="s">
        <v>645</v>
      </c>
      <c r="F152" s="27"/>
    </row>
    <row r="153" spans="2:6" x14ac:dyDescent="0.3">
      <c r="B153" s="22" t="s">
        <v>277</v>
      </c>
      <c r="C153" s="19" t="s">
        <v>566</v>
      </c>
      <c r="D153" s="39">
        <v>460</v>
      </c>
      <c r="E153" s="30" t="s">
        <v>645</v>
      </c>
      <c r="F153" s="27" t="s">
        <v>1015</v>
      </c>
    </row>
    <row r="154" spans="2:6" x14ac:dyDescent="0.3">
      <c r="B154" s="22" t="s">
        <v>156</v>
      </c>
      <c r="C154" s="19" t="s">
        <v>567</v>
      </c>
      <c r="D154" s="39">
        <v>445</v>
      </c>
      <c r="E154" s="30" t="s">
        <v>645</v>
      </c>
      <c r="F154" s="27" t="s">
        <v>901</v>
      </c>
    </row>
    <row r="155" spans="2:6" x14ac:dyDescent="0.3">
      <c r="B155" s="22" t="s">
        <v>278</v>
      </c>
      <c r="C155" s="19" t="s">
        <v>568</v>
      </c>
      <c r="D155" s="39">
        <v>364</v>
      </c>
      <c r="E155" s="30" t="s">
        <v>645</v>
      </c>
      <c r="F155" s="27"/>
    </row>
    <row r="156" spans="2:6" x14ac:dyDescent="0.3">
      <c r="B156" s="22" t="s">
        <v>279</v>
      </c>
      <c r="C156" s="19"/>
      <c r="D156" s="39"/>
      <c r="E156" s="30" t="s">
        <v>645</v>
      </c>
      <c r="F156" s="27"/>
    </row>
    <row r="157" spans="2:6" x14ac:dyDescent="0.3">
      <c r="B157" s="22" t="s">
        <v>280</v>
      </c>
      <c r="C157" s="19"/>
      <c r="D157" s="39"/>
      <c r="E157" s="30" t="s">
        <v>645</v>
      </c>
      <c r="F157" s="27" t="s">
        <v>281</v>
      </c>
    </row>
    <row r="158" spans="2:6" x14ac:dyDescent="0.3">
      <c r="B158" s="22" t="s">
        <v>569</v>
      </c>
      <c r="C158" s="19" t="s">
        <v>570</v>
      </c>
      <c r="D158" s="39">
        <v>164</v>
      </c>
      <c r="E158" s="30" t="s">
        <v>645</v>
      </c>
      <c r="F158" s="27"/>
    </row>
    <row r="159" spans="2:6" x14ac:dyDescent="0.3">
      <c r="B159" s="22" t="s">
        <v>282</v>
      </c>
      <c r="C159" s="19" t="s">
        <v>571</v>
      </c>
      <c r="D159" s="39">
        <v>469</v>
      </c>
      <c r="E159" s="30" t="s">
        <v>645</v>
      </c>
      <c r="F159" s="27"/>
    </row>
    <row r="160" spans="2:6" x14ac:dyDescent="0.3">
      <c r="B160" s="22" t="s">
        <v>157</v>
      </c>
      <c r="C160" s="19" t="s">
        <v>572</v>
      </c>
      <c r="D160" s="39">
        <v>285</v>
      </c>
      <c r="E160" s="30" t="s">
        <v>645</v>
      </c>
      <c r="F160" s="27"/>
    </row>
    <row r="161" spans="2:6" x14ac:dyDescent="0.3">
      <c r="B161" s="22" t="s">
        <v>158</v>
      </c>
      <c r="C161" s="19" t="s">
        <v>159</v>
      </c>
      <c r="D161" s="39">
        <v>102</v>
      </c>
      <c r="E161" s="30" t="s">
        <v>645</v>
      </c>
      <c r="F161" s="27" t="s">
        <v>993</v>
      </c>
    </row>
    <row r="162" spans="2:6" x14ac:dyDescent="0.3">
      <c r="B162" s="22" t="s">
        <v>160</v>
      </c>
      <c r="C162" s="19" t="s">
        <v>573</v>
      </c>
      <c r="D162" s="39">
        <v>477</v>
      </c>
      <c r="E162" s="30" t="s">
        <v>645</v>
      </c>
      <c r="F162" s="27">
        <v>3000</v>
      </c>
    </row>
    <row r="163" spans="2:6" x14ac:dyDescent="0.3">
      <c r="B163" s="22" t="s">
        <v>161</v>
      </c>
      <c r="C163" s="19" t="s">
        <v>574</v>
      </c>
      <c r="D163" s="39">
        <v>464</v>
      </c>
      <c r="E163" s="30" t="s">
        <v>645</v>
      </c>
      <c r="F163" s="27" t="s">
        <v>798</v>
      </c>
    </row>
    <row r="164" spans="2:6" x14ac:dyDescent="0.3">
      <c r="B164" s="22" t="s">
        <v>162</v>
      </c>
      <c r="C164" s="19"/>
      <c r="D164" s="39"/>
      <c r="E164" s="30" t="s">
        <v>645</v>
      </c>
      <c r="F164" s="27"/>
    </row>
    <row r="165" spans="2:6" x14ac:dyDescent="0.3">
      <c r="B165" s="22" t="s">
        <v>163</v>
      </c>
      <c r="C165" s="19" t="s">
        <v>575</v>
      </c>
      <c r="D165" s="39">
        <v>313</v>
      </c>
      <c r="E165" s="30" t="s">
        <v>645</v>
      </c>
      <c r="F165" s="27"/>
    </row>
    <row r="166" spans="2:6" x14ac:dyDescent="0.3">
      <c r="B166" s="22" t="s">
        <v>164</v>
      </c>
      <c r="C166" s="19" t="s">
        <v>576</v>
      </c>
      <c r="D166" s="39">
        <v>322</v>
      </c>
      <c r="E166" s="30" t="s">
        <v>645</v>
      </c>
      <c r="F166" s="27"/>
    </row>
    <row r="167" spans="2:6" x14ac:dyDescent="0.3">
      <c r="B167" s="22" t="s">
        <v>165</v>
      </c>
      <c r="C167" s="19" t="s">
        <v>577</v>
      </c>
      <c r="D167" s="39">
        <v>256</v>
      </c>
      <c r="E167" s="30" t="s">
        <v>645</v>
      </c>
      <c r="F167" s="27"/>
    </row>
    <row r="168" spans="2:6" x14ac:dyDescent="0.3">
      <c r="B168" s="22" t="s">
        <v>166</v>
      </c>
      <c r="C168" s="19" t="s">
        <v>167</v>
      </c>
      <c r="D168" s="39">
        <v>208</v>
      </c>
      <c r="E168" s="30" t="s">
        <v>644</v>
      </c>
      <c r="F168" s="27" t="s">
        <v>1069</v>
      </c>
    </row>
    <row r="169" spans="2:6" x14ac:dyDescent="0.3">
      <c r="B169" s="22" t="s">
        <v>168</v>
      </c>
      <c r="C169" s="19" t="s">
        <v>578</v>
      </c>
      <c r="D169" s="39">
        <v>171</v>
      </c>
      <c r="E169" s="30" t="s">
        <v>644</v>
      </c>
      <c r="F169" s="27" t="s">
        <v>953</v>
      </c>
    </row>
    <row r="170" spans="2:6" x14ac:dyDescent="0.3">
      <c r="B170" s="22" t="s">
        <v>889</v>
      </c>
      <c r="C170" s="19" t="s">
        <v>891</v>
      </c>
      <c r="D170" s="39">
        <v>279.7</v>
      </c>
      <c r="E170" s="30" t="s">
        <v>645</v>
      </c>
      <c r="F170" s="27" t="s">
        <v>890</v>
      </c>
    </row>
    <row r="171" spans="2:6" x14ac:dyDescent="0.3">
      <c r="B171" s="22" t="s">
        <v>283</v>
      </c>
      <c r="C171" s="19" t="s">
        <v>855</v>
      </c>
      <c r="D171" s="39">
        <v>306</v>
      </c>
      <c r="E171" s="30" t="s">
        <v>645</v>
      </c>
      <c r="F171" s="27" t="s">
        <v>856</v>
      </c>
    </row>
    <row r="172" spans="2:6" x14ac:dyDescent="0.3">
      <c r="B172" s="22" t="s">
        <v>284</v>
      </c>
      <c r="C172" s="19" t="s">
        <v>1007</v>
      </c>
      <c r="D172" s="39">
        <v>540</v>
      </c>
      <c r="E172" s="30" t="s">
        <v>645</v>
      </c>
      <c r="F172" s="27" t="s">
        <v>1008</v>
      </c>
    </row>
    <row r="173" spans="2:6" x14ac:dyDescent="0.3">
      <c r="B173" s="22" t="s">
        <v>285</v>
      </c>
      <c r="C173" s="19"/>
      <c r="D173" s="39"/>
      <c r="E173" s="30" t="s">
        <v>645</v>
      </c>
      <c r="F173" s="27" t="s">
        <v>356</v>
      </c>
    </row>
    <row r="174" spans="2:6" x14ac:dyDescent="0.3">
      <c r="B174" s="22" t="s">
        <v>286</v>
      </c>
      <c r="C174" s="19"/>
      <c r="D174" s="39"/>
      <c r="E174" s="30" t="s">
        <v>645</v>
      </c>
      <c r="F174" s="27" t="s">
        <v>357</v>
      </c>
    </row>
    <row r="175" spans="2:6" x14ac:dyDescent="0.3">
      <c r="B175" s="22" t="s">
        <v>287</v>
      </c>
      <c r="C175" s="19"/>
      <c r="D175" s="39"/>
      <c r="E175" s="30" t="s">
        <v>645</v>
      </c>
      <c r="F175" s="27"/>
    </row>
    <row r="176" spans="2:6" x14ac:dyDescent="0.3">
      <c r="B176" s="22" t="s">
        <v>169</v>
      </c>
      <c r="C176" s="19" t="s">
        <v>579</v>
      </c>
      <c r="D176" s="39">
        <v>494</v>
      </c>
      <c r="E176" s="30" t="s">
        <v>644</v>
      </c>
      <c r="F176" s="27" t="s">
        <v>954</v>
      </c>
    </row>
    <row r="177" spans="2:6" x14ac:dyDescent="0.3">
      <c r="B177" s="22" t="s">
        <v>288</v>
      </c>
      <c r="C177" s="19"/>
      <c r="D177" s="39"/>
      <c r="E177" s="30" t="s">
        <v>645</v>
      </c>
      <c r="F177" s="27"/>
    </row>
    <row r="178" spans="2:6" x14ac:dyDescent="0.3">
      <c r="B178" s="22" t="s">
        <v>289</v>
      </c>
      <c r="C178" s="19" t="s">
        <v>580</v>
      </c>
      <c r="D178" s="39">
        <v>553</v>
      </c>
      <c r="E178" s="30" t="s">
        <v>645</v>
      </c>
      <c r="F178" s="27" t="s">
        <v>358</v>
      </c>
    </row>
    <row r="179" spans="2:6" x14ac:dyDescent="0.3">
      <c r="B179" s="22" t="s">
        <v>869</v>
      </c>
      <c r="C179" s="19" t="s">
        <v>868</v>
      </c>
      <c r="D179" s="39">
        <v>561</v>
      </c>
      <c r="E179" s="30" t="s">
        <v>645</v>
      </c>
      <c r="F179" s="27" t="s">
        <v>870</v>
      </c>
    </row>
    <row r="180" spans="2:6" x14ac:dyDescent="0.3">
      <c r="B180" s="22" t="s">
        <v>290</v>
      </c>
      <c r="C180" s="19" t="s">
        <v>581</v>
      </c>
      <c r="D180" s="39">
        <v>271</v>
      </c>
      <c r="E180" s="30" t="s">
        <v>645</v>
      </c>
      <c r="F180" s="27" t="s">
        <v>359</v>
      </c>
    </row>
    <row r="181" spans="2:6" x14ac:dyDescent="0.3">
      <c r="B181" s="22" t="s">
        <v>170</v>
      </c>
      <c r="C181" s="19" t="s">
        <v>582</v>
      </c>
      <c r="D181" s="39">
        <v>299</v>
      </c>
      <c r="E181" s="30" t="s">
        <v>645</v>
      </c>
      <c r="F181" s="27" t="s">
        <v>250</v>
      </c>
    </row>
    <row r="182" spans="2:6" x14ac:dyDescent="0.3">
      <c r="B182" s="22" t="s">
        <v>171</v>
      </c>
      <c r="C182" s="19" t="s">
        <v>583</v>
      </c>
      <c r="D182" s="39">
        <v>305</v>
      </c>
      <c r="E182" s="30" t="s">
        <v>645</v>
      </c>
      <c r="F182" s="27" t="s">
        <v>878</v>
      </c>
    </row>
    <row r="183" spans="2:6" x14ac:dyDescent="0.3">
      <c r="B183" s="22" t="s">
        <v>172</v>
      </c>
      <c r="C183" s="19"/>
      <c r="D183" s="39"/>
      <c r="E183" s="30" t="s">
        <v>645</v>
      </c>
      <c r="F183" s="27" t="s">
        <v>238</v>
      </c>
    </row>
    <row r="184" spans="2:6" x14ac:dyDescent="0.3">
      <c r="B184" s="22" t="s">
        <v>173</v>
      </c>
      <c r="C184" s="19" t="s">
        <v>584</v>
      </c>
      <c r="D184" s="39">
        <v>255</v>
      </c>
      <c r="E184" s="30" t="s">
        <v>645</v>
      </c>
      <c r="F184" s="27" t="s">
        <v>241</v>
      </c>
    </row>
    <row r="185" spans="2:6" x14ac:dyDescent="0.3">
      <c r="B185" s="22" t="s">
        <v>174</v>
      </c>
      <c r="C185" s="19" t="s">
        <v>585</v>
      </c>
      <c r="D185" s="39">
        <v>365</v>
      </c>
      <c r="E185" s="30" t="s">
        <v>645</v>
      </c>
      <c r="F185" s="27" t="s">
        <v>361</v>
      </c>
    </row>
    <row r="186" spans="2:6" x14ac:dyDescent="0.3">
      <c r="B186" s="22" t="s">
        <v>175</v>
      </c>
      <c r="C186" s="19"/>
      <c r="D186" s="39"/>
      <c r="E186" s="30" t="s">
        <v>645</v>
      </c>
      <c r="F186" s="27" t="s">
        <v>362</v>
      </c>
    </row>
    <row r="187" spans="2:6" x14ac:dyDescent="0.3">
      <c r="B187" s="22" t="s">
        <v>596</v>
      </c>
      <c r="C187" s="19" t="s">
        <v>597</v>
      </c>
      <c r="D187" s="39">
        <v>230</v>
      </c>
      <c r="E187" s="30" t="s">
        <v>644</v>
      </c>
      <c r="F187" s="27" t="s">
        <v>1060</v>
      </c>
    </row>
    <row r="188" spans="2:6" x14ac:dyDescent="0.3">
      <c r="B188" s="22" t="s">
        <v>292</v>
      </c>
      <c r="C188" s="19"/>
      <c r="D188" s="39"/>
      <c r="E188" s="30" t="s">
        <v>645</v>
      </c>
      <c r="F188" s="27"/>
    </row>
    <row r="189" spans="2:6" x14ac:dyDescent="0.3">
      <c r="B189" s="22" t="s">
        <v>176</v>
      </c>
      <c r="C189" s="19" t="s">
        <v>586</v>
      </c>
      <c r="D189" s="39">
        <v>53</v>
      </c>
      <c r="E189" s="30" t="s">
        <v>644</v>
      </c>
      <c r="F189" s="27" t="s">
        <v>651</v>
      </c>
    </row>
    <row r="190" spans="2:6" x14ac:dyDescent="0.3">
      <c r="B190" s="22" t="s">
        <v>177</v>
      </c>
      <c r="C190" s="19" t="s">
        <v>587</v>
      </c>
      <c r="D190" s="39">
        <v>673</v>
      </c>
      <c r="E190" s="30" t="s">
        <v>644</v>
      </c>
      <c r="F190" s="27" t="s">
        <v>650</v>
      </c>
    </row>
    <row r="191" spans="2:6" x14ac:dyDescent="0.3">
      <c r="B191" s="22" t="s">
        <v>610</v>
      </c>
      <c r="C191" s="19" t="s">
        <v>609</v>
      </c>
      <c r="D191" s="39">
        <v>151</v>
      </c>
      <c r="E191" s="30" t="s">
        <v>644</v>
      </c>
      <c r="F191" s="27" t="s">
        <v>955</v>
      </c>
    </row>
    <row r="192" spans="2:6" x14ac:dyDescent="0.3">
      <c r="B192" s="22" t="s">
        <v>293</v>
      </c>
      <c r="C192" s="19" t="s">
        <v>588</v>
      </c>
      <c r="D192" s="39">
        <v>442</v>
      </c>
      <c r="E192" s="30" t="s">
        <v>644</v>
      </c>
      <c r="F192" s="27" t="s">
        <v>956</v>
      </c>
    </row>
    <row r="193" spans="2:6" x14ac:dyDescent="0.3">
      <c r="B193" s="22" t="s">
        <v>294</v>
      </c>
      <c r="C193" s="19" t="s">
        <v>589</v>
      </c>
      <c r="D193" s="39">
        <v>534</v>
      </c>
      <c r="E193" s="30" t="s">
        <v>645</v>
      </c>
      <c r="F193" s="27" t="s">
        <v>1087</v>
      </c>
    </row>
    <row r="194" spans="2:6" x14ac:dyDescent="0.3">
      <c r="B194" s="22" t="s">
        <v>295</v>
      </c>
      <c r="C194" s="19" t="s">
        <v>590</v>
      </c>
      <c r="D194" s="39">
        <v>256</v>
      </c>
      <c r="E194" s="30" t="s">
        <v>644</v>
      </c>
      <c r="F194" s="27" t="s">
        <v>1062</v>
      </c>
    </row>
    <row r="195" spans="2:6" x14ac:dyDescent="0.3">
      <c r="B195" s="22" t="s">
        <v>296</v>
      </c>
      <c r="C195" s="19" t="s">
        <v>1025</v>
      </c>
      <c r="D195" s="39">
        <v>420</v>
      </c>
      <c r="E195" s="30" t="s">
        <v>645</v>
      </c>
      <c r="F195" s="27" t="s">
        <v>1026</v>
      </c>
    </row>
    <row r="196" spans="2:6" x14ac:dyDescent="0.3">
      <c r="B196" s="22" t="s">
        <v>297</v>
      </c>
      <c r="C196" s="19" t="s">
        <v>591</v>
      </c>
      <c r="D196" s="39">
        <v>545</v>
      </c>
      <c r="E196" s="30" t="s">
        <v>645</v>
      </c>
      <c r="F196" s="27" t="s">
        <v>361</v>
      </c>
    </row>
    <row r="197" spans="2:6" x14ac:dyDescent="0.3">
      <c r="B197" s="22" t="s">
        <v>298</v>
      </c>
      <c r="C197" s="19" t="s">
        <v>592</v>
      </c>
      <c r="D197" s="39">
        <v>626</v>
      </c>
      <c r="E197" s="30" t="s">
        <v>645</v>
      </c>
      <c r="F197" s="27" t="s">
        <v>875</v>
      </c>
    </row>
    <row r="198" spans="2:6" x14ac:dyDescent="0.3">
      <c r="B198" s="22" t="s">
        <v>299</v>
      </c>
      <c r="C198" s="19" t="s">
        <v>593</v>
      </c>
      <c r="D198" s="39">
        <v>390</v>
      </c>
      <c r="E198" s="30" t="s">
        <v>645</v>
      </c>
      <c r="F198" s="27" t="s">
        <v>359</v>
      </c>
    </row>
    <row r="199" spans="2:6" x14ac:dyDescent="0.3">
      <c r="B199" s="22" t="s">
        <v>300</v>
      </c>
      <c r="C199" s="19" t="s">
        <v>594</v>
      </c>
      <c r="D199" s="39">
        <v>219</v>
      </c>
      <c r="E199" s="30" t="s">
        <v>644</v>
      </c>
      <c r="F199" s="27" t="s">
        <v>649</v>
      </c>
    </row>
    <row r="200" spans="2:6" x14ac:dyDescent="0.3">
      <c r="B200" s="22" t="s">
        <v>301</v>
      </c>
      <c r="C200" s="19"/>
      <c r="D200" s="39">
        <v>216</v>
      </c>
      <c r="E200" s="30" t="s">
        <v>644</v>
      </c>
      <c r="F200" s="27" t="s">
        <v>957</v>
      </c>
    </row>
    <row r="201" spans="2:6" x14ac:dyDescent="0.3">
      <c r="B201" s="22" t="s">
        <v>302</v>
      </c>
      <c r="C201" s="19" t="s">
        <v>595</v>
      </c>
      <c r="D201" s="39">
        <v>177</v>
      </c>
      <c r="E201" s="30" t="s">
        <v>645</v>
      </c>
      <c r="F201" s="27" t="s">
        <v>1001</v>
      </c>
    </row>
    <row r="202" spans="2:6" x14ac:dyDescent="0.3">
      <c r="B202" s="22" t="s">
        <v>303</v>
      </c>
      <c r="C202" s="19" t="s">
        <v>880</v>
      </c>
      <c r="D202" s="39">
        <v>239</v>
      </c>
      <c r="E202" s="30" t="s">
        <v>644</v>
      </c>
      <c r="F202" s="27" t="s">
        <v>958</v>
      </c>
    </row>
    <row r="203" spans="2:6" x14ac:dyDescent="0.3">
      <c r="B203" s="22" t="s">
        <v>304</v>
      </c>
      <c r="C203" s="19" t="s">
        <v>598</v>
      </c>
      <c r="D203" s="39">
        <v>383</v>
      </c>
      <c r="E203" s="30" t="s">
        <v>645</v>
      </c>
      <c r="F203" s="27" t="s">
        <v>367</v>
      </c>
    </row>
    <row r="204" spans="2:6" x14ac:dyDescent="0.3">
      <c r="B204" s="22" t="s">
        <v>305</v>
      </c>
      <c r="C204" s="19" t="s">
        <v>599</v>
      </c>
      <c r="D204" s="39">
        <v>396</v>
      </c>
      <c r="E204" s="30" t="s">
        <v>645</v>
      </c>
      <c r="F204" s="27" t="s">
        <v>368</v>
      </c>
    </row>
    <row r="205" spans="2:6" x14ac:dyDescent="0.3">
      <c r="B205" s="22" t="s">
        <v>306</v>
      </c>
      <c r="C205" s="19" t="s">
        <v>600</v>
      </c>
      <c r="D205" s="39">
        <v>475</v>
      </c>
      <c r="E205" s="30" t="s">
        <v>645</v>
      </c>
      <c r="F205" s="27" t="s">
        <v>369</v>
      </c>
    </row>
    <row r="206" spans="2:6" x14ac:dyDescent="0.3">
      <c r="B206" s="22" t="s">
        <v>307</v>
      </c>
      <c r="C206" s="19" t="s">
        <v>601</v>
      </c>
      <c r="D206" s="39">
        <v>377</v>
      </c>
      <c r="E206" s="30" t="s">
        <v>645</v>
      </c>
      <c r="F206" s="27" t="s">
        <v>361</v>
      </c>
    </row>
    <row r="207" spans="2:6" x14ac:dyDescent="0.3">
      <c r="B207" s="22" t="s">
        <v>308</v>
      </c>
      <c r="C207" s="19" t="s">
        <v>602</v>
      </c>
      <c r="D207" s="39">
        <v>307</v>
      </c>
      <c r="E207" s="30" t="s">
        <v>645</v>
      </c>
      <c r="F207" s="27" t="s">
        <v>370</v>
      </c>
    </row>
    <row r="208" spans="2:6" x14ac:dyDescent="0.3">
      <c r="B208" s="22" t="s">
        <v>309</v>
      </c>
      <c r="C208" s="19" t="s">
        <v>603</v>
      </c>
      <c r="D208" s="39">
        <v>202</v>
      </c>
      <c r="E208" s="30" t="s">
        <v>645</v>
      </c>
      <c r="F208" s="27" t="s">
        <v>371</v>
      </c>
    </row>
    <row r="209" spans="2:6" x14ac:dyDescent="0.3">
      <c r="B209" s="22" t="s">
        <v>310</v>
      </c>
      <c r="C209" s="19" t="s">
        <v>604</v>
      </c>
      <c r="D209" s="39">
        <v>556</v>
      </c>
      <c r="E209" s="30" t="s">
        <v>645</v>
      </c>
      <c r="F209" s="27" t="s">
        <v>372</v>
      </c>
    </row>
    <row r="210" spans="2:6" x14ac:dyDescent="0.3">
      <c r="B210" s="22" t="s">
        <v>311</v>
      </c>
      <c r="C210" s="19"/>
      <c r="D210" s="39"/>
      <c r="E210" s="30" t="s">
        <v>645</v>
      </c>
      <c r="F210" s="27"/>
    </row>
    <row r="211" spans="2:6" x14ac:dyDescent="0.3">
      <c r="B211" s="22" t="s">
        <v>312</v>
      </c>
      <c r="C211" s="19" t="s">
        <v>605</v>
      </c>
      <c r="D211" s="39">
        <v>334</v>
      </c>
      <c r="E211" s="30" t="s">
        <v>645</v>
      </c>
      <c r="F211" s="27" t="s">
        <v>250</v>
      </c>
    </row>
    <row r="212" spans="2:6" x14ac:dyDescent="0.3">
      <c r="B212" s="22" t="s">
        <v>313</v>
      </c>
      <c r="C212" s="19" t="s">
        <v>606</v>
      </c>
      <c r="D212" s="39">
        <v>397</v>
      </c>
      <c r="E212" s="30" t="s">
        <v>645</v>
      </c>
      <c r="F212" s="27" t="s">
        <v>373</v>
      </c>
    </row>
    <row r="213" spans="2:6" x14ac:dyDescent="0.3">
      <c r="B213" s="22" t="s">
        <v>314</v>
      </c>
      <c r="C213" s="19"/>
      <c r="D213" s="39"/>
      <c r="E213" s="30" t="s">
        <v>645</v>
      </c>
      <c r="F213" s="27" t="s">
        <v>374</v>
      </c>
    </row>
    <row r="214" spans="2:6" x14ac:dyDescent="0.3">
      <c r="B214" s="22" t="s">
        <v>607</v>
      </c>
      <c r="C214" s="19" t="s">
        <v>608</v>
      </c>
      <c r="D214" s="39">
        <v>140</v>
      </c>
      <c r="E214" s="30" t="s">
        <v>645</v>
      </c>
      <c r="F214" s="27"/>
    </row>
    <row r="215" spans="2:6" x14ac:dyDescent="0.3">
      <c r="B215" s="22" t="s">
        <v>315</v>
      </c>
      <c r="C215" s="19"/>
      <c r="D215" s="39"/>
      <c r="E215" s="30" t="s">
        <v>645</v>
      </c>
      <c r="F215" s="27"/>
    </row>
    <row r="216" spans="2:6" x14ac:dyDescent="0.3">
      <c r="B216" s="22" t="s">
        <v>316</v>
      </c>
      <c r="C216" s="19"/>
      <c r="D216" s="39"/>
      <c r="E216" s="30" t="s">
        <v>645</v>
      </c>
      <c r="F216" s="27" t="s">
        <v>375</v>
      </c>
    </row>
    <row r="217" spans="2:6" x14ac:dyDescent="0.3">
      <c r="B217" s="22" t="s">
        <v>317</v>
      </c>
      <c r="C217" s="19" t="s">
        <v>611</v>
      </c>
      <c r="D217" s="39">
        <v>250</v>
      </c>
      <c r="E217" s="30" t="s">
        <v>645</v>
      </c>
      <c r="F217" s="27" t="s">
        <v>964</v>
      </c>
    </row>
    <row r="218" spans="2:6" x14ac:dyDescent="0.3">
      <c r="B218" s="22" t="s">
        <v>318</v>
      </c>
      <c r="C218" s="19"/>
      <c r="D218" s="39"/>
      <c r="E218" s="30" t="s">
        <v>645</v>
      </c>
      <c r="F218" s="27" t="s">
        <v>376</v>
      </c>
    </row>
    <row r="219" spans="2:6" x14ac:dyDescent="0.3">
      <c r="B219" s="22" t="s">
        <v>319</v>
      </c>
      <c r="C219" s="19"/>
      <c r="D219" s="39"/>
      <c r="E219" s="30" t="s">
        <v>645</v>
      </c>
      <c r="F219" s="27"/>
    </row>
    <row r="220" spans="2:6" x14ac:dyDescent="0.3">
      <c r="B220" s="22" t="s">
        <v>320</v>
      </c>
      <c r="C220" s="19" t="s">
        <v>897</v>
      </c>
      <c r="D220" s="39">
        <v>240</v>
      </c>
      <c r="E220" s="30" t="s">
        <v>645</v>
      </c>
      <c r="F220" s="27" t="s">
        <v>245</v>
      </c>
    </row>
    <row r="221" spans="2:6" x14ac:dyDescent="0.3">
      <c r="B221" s="22" t="s">
        <v>321</v>
      </c>
      <c r="C221" s="19" t="s">
        <v>612</v>
      </c>
      <c r="D221" s="39">
        <v>159</v>
      </c>
      <c r="E221" s="30" t="s">
        <v>645</v>
      </c>
      <c r="F221" s="27" t="s">
        <v>852</v>
      </c>
    </row>
    <row r="222" spans="2:6" x14ac:dyDescent="0.3">
      <c r="B222" s="22" t="s">
        <v>322</v>
      </c>
      <c r="C222" s="19"/>
      <c r="D222" s="39"/>
      <c r="E222" s="30" t="s">
        <v>645</v>
      </c>
      <c r="F222" s="27"/>
    </row>
    <row r="223" spans="2:6" x14ac:dyDescent="0.3">
      <c r="B223" s="22" t="s">
        <v>323</v>
      </c>
      <c r="C223" s="19"/>
      <c r="D223" s="39"/>
      <c r="E223" s="30" t="s">
        <v>645</v>
      </c>
      <c r="F223" s="27"/>
    </row>
    <row r="224" spans="2:6" x14ac:dyDescent="0.3">
      <c r="B224" s="22" t="s">
        <v>324</v>
      </c>
      <c r="C224" s="19" t="s">
        <v>613</v>
      </c>
      <c r="D224" s="39">
        <v>526</v>
      </c>
      <c r="E224" s="30" t="s">
        <v>645</v>
      </c>
      <c r="F224" s="27" t="s">
        <v>908</v>
      </c>
    </row>
    <row r="225" spans="2:6" x14ac:dyDescent="0.3">
      <c r="B225" s="22" t="s">
        <v>325</v>
      </c>
      <c r="C225" s="19" t="s">
        <v>907</v>
      </c>
      <c r="D225" s="39"/>
      <c r="E225" s="30" t="s">
        <v>645</v>
      </c>
      <c r="F225" s="27" t="s">
        <v>906</v>
      </c>
    </row>
    <row r="226" spans="2:6" x14ac:dyDescent="0.3">
      <c r="B226" s="22" t="s">
        <v>326</v>
      </c>
      <c r="C226" s="19"/>
      <c r="D226" s="39"/>
      <c r="E226" s="30" t="s">
        <v>645</v>
      </c>
      <c r="F226" s="27"/>
    </row>
    <row r="227" spans="2:6" x14ac:dyDescent="0.3">
      <c r="B227" s="22" t="s">
        <v>327</v>
      </c>
      <c r="C227" s="19" t="s">
        <v>1019</v>
      </c>
      <c r="D227" s="39">
        <v>302</v>
      </c>
      <c r="E227" s="30" t="s">
        <v>645</v>
      </c>
      <c r="F227" s="27" t="s">
        <v>1020</v>
      </c>
    </row>
    <row r="228" spans="2:6" x14ac:dyDescent="0.3">
      <c r="B228" s="22" t="s">
        <v>328</v>
      </c>
      <c r="C228" s="19" t="s">
        <v>614</v>
      </c>
      <c r="D228" s="39">
        <v>348</v>
      </c>
      <c r="E228" s="30" t="s">
        <v>645</v>
      </c>
      <c r="F228" s="27" t="s">
        <v>851</v>
      </c>
    </row>
    <row r="229" spans="2:6" x14ac:dyDescent="0.3">
      <c r="B229" s="22" t="s">
        <v>329</v>
      </c>
      <c r="C229" s="19" t="s">
        <v>615</v>
      </c>
      <c r="D229" s="39">
        <v>712</v>
      </c>
      <c r="E229" s="30" t="s">
        <v>645</v>
      </c>
      <c r="F229" s="27"/>
    </row>
    <row r="230" spans="2:6" x14ac:dyDescent="0.3">
      <c r="B230" s="22" t="s">
        <v>330</v>
      </c>
      <c r="C230" s="19" t="s">
        <v>617</v>
      </c>
      <c r="D230" s="39">
        <v>211</v>
      </c>
      <c r="E230" s="30" t="s">
        <v>645</v>
      </c>
      <c r="F230" s="27">
        <v>2700</v>
      </c>
    </row>
    <row r="231" spans="2:6" x14ac:dyDescent="0.3">
      <c r="B231" s="22" t="s">
        <v>331</v>
      </c>
      <c r="C231" s="19" t="s">
        <v>661</v>
      </c>
      <c r="D231" s="39">
        <v>418</v>
      </c>
      <c r="E231" s="30" t="s">
        <v>645</v>
      </c>
      <c r="F231" s="27"/>
    </row>
    <row r="232" spans="2:6" x14ac:dyDescent="0.3">
      <c r="B232" s="22" t="s">
        <v>332</v>
      </c>
      <c r="C232" s="19" t="s">
        <v>616</v>
      </c>
      <c r="D232" s="39">
        <v>233</v>
      </c>
      <c r="E232" s="30" t="s">
        <v>645</v>
      </c>
      <c r="F232" s="27" t="s">
        <v>930</v>
      </c>
    </row>
    <row r="233" spans="2:6" x14ac:dyDescent="0.3">
      <c r="B233" s="22" t="s">
        <v>333</v>
      </c>
      <c r="C233" s="19"/>
      <c r="D233" s="39"/>
      <c r="E233" s="30" t="s">
        <v>645</v>
      </c>
      <c r="F233" s="27"/>
    </row>
    <row r="234" spans="2:6" x14ac:dyDescent="0.3">
      <c r="B234" s="22" t="s">
        <v>334</v>
      </c>
      <c r="C234" s="19" t="s">
        <v>618</v>
      </c>
      <c r="D234" s="39">
        <v>192</v>
      </c>
      <c r="E234" s="30" t="s">
        <v>645</v>
      </c>
      <c r="F234" s="27"/>
    </row>
    <row r="235" spans="2:6" x14ac:dyDescent="0.3">
      <c r="B235" s="22" t="s">
        <v>335</v>
      </c>
      <c r="C235" s="19"/>
      <c r="D235" s="39"/>
      <c r="E235" s="30" t="s">
        <v>645</v>
      </c>
      <c r="F235" s="27"/>
    </row>
    <row r="236" spans="2:6" x14ac:dyDescent="0.3">
      <c r="B236" s="22" t="s">
        <v>620</v>
      </c>
      <c r="C236" s="19" t="s">
        <v>619</v>
      </c>
      <c r="D236" s="39">
        <v>157</v>
      </c>
      <c r="E236" s="30" t="s">
        <v>645</v>
      </c>
      <c r="F236" s="27" t="s">
        <v>621</v>
      </c>
    </row>
    <row r="237" spans="2:6" x14ac:dyDescent="0.3">
      <c r="B237" s="22" t="s">
        <v>337</v>
      </c>
      <c r="C237" s="19" t="s">
        <v>622</v>
      </c>
      <c r="D237" s="39">
        <v>476</v>
      </c>
      <c r="E237" s="30" t="s">
        <v>645</v>
      </c>
      <c r="F237" s="27" t="s">
        <v>623</v>
      </c>
    </row>
    <row r="238" spans="2:6" x14ac:dyDescent="0.3">
      <c r="B238" s="22" t="s">
        <v>338</v>
      </c>
      <c r="C238" s="19"/>
      <c r="D238" s="39"/>
      <c r="E238" s="30" t="s">
        <v>645</v>
      </c>
      <c r="F238" s="27" t="s">
        <v>978</v>
      </c>
    </row>
    <row r="239" spans="2:6" x14ac:dyDescent="0.3">
      <c r="B239" s="22" t="s">
        <v>1011</v>
      </c>
      <c r="C239" s="19" t="s">
        <v>658</v>
      </c>
      <c r="D239" s="39">
        <v>425</v>
      </c>
      <c r="E239" s="30" t="s">
        <v>645</v>
      </c>
      <c r="F239" s="27" t="s">
        <v>1012</v>
      </c>
    </row>
    <row r="240" spans="2:6" x14ac:dyDescent="0.3">
      <c r="B240" s="22" t="s">
        <v>339</v>
      </c>
      <c r="C240" s="19"/>
      <c r="D240" s="39"/>
      <c r="E240" s="30" t="s">
        <v>645</v>
      </c>
      <c r="F240" s="27"/>
    </row>
    <row r="241" spans="2:6" x14ac:dyDescent="0.3">
      <c r="B241" s="22" t="s">
        <v>340</v>
      </c>
      <c r="C241" s="19" t="s">
        <v>624</v>
      </c>
      <c r="D241" s="39">
        <v>150</v>
      </c>
      <c r="E241" s="30" t="s">
        <v>645</v>
      </c>
      <c r="F241" s="27" t="s">
        <v>625</v>
      </c>
    </row>
    <row r="242" spans="2:6" x14ac:dyDescent="0.3">
      <c r="B242" s="22" t="s">
        <v>341</v>
      </c>
      <c r="C242" s="19" t="s">
        <v>626</v>
      </c>
      <c r="D242" s="39">
        <v>175</v>
      </c>
      <c r="E242" s="30" t="s">
        <v>645</v>
      </c>
      <c r="F242" s="27">
        <v>4200</v>
      </c>
    </row>
    <row r="243" spans="2:6" x14ac:dyDescent="0.3">
      <c r="B243" s="22" t="s">
        <v>342</v>
      </c>
      <c r="C243" s="19" t="s">
        <v>627</v>
      </c>
      <c r="D243" s="39">
        <v>225</v>
      </c>
      <c r="E243" s="30" t="s">
        <v>645</v>
      </c>
      <c r="F243" s="27"/>
    </row>
    <row r="244" spans="2:6" x14ac:dyDescent="0.3">
      <c r="B244" s="22" t="s">
        <v>343</v>
      </c>
      <c r="C244" s="19"/>
      <c r="D244" s="39"/>
      <c r="E244" s="30" t="s">
        <v>645</v>
      </c>
      <c r="F244" s="27" t="s">
        <v>662</v>
      </c>
    </row>
    <row r="245" spans="2:6" x14ac:dyDescent="0.3">
      <c r="B245" s="22" t="s">
        <v>344</v>
      </c>
      <c r="C245" s="19" t="s">
        <v>628</v>
      </c>
      <c r="D245" s="39">
        <v>395</v>
      </c>
      <c r="E245" s="30" t="s">
        <v>645</v>
      </c>
      <c r="F245" s="27" t="s">
        <v>364</v>
      </c>
    </row>
    <row r="246" spans="2:6" x14ac:dyDescent="0.3">
      <c r="B246" s="22" t="s">
        <v>345</v>
      </c>
      <c r="C246" s="19" t="s">
        <v>663</v>
      </c>
      <c r="D246" s="39"/>
      <c r="E246" s="30" t="s">
        <v>645</v>
      </c>
      <c r="F246" s="27" t="s">
        <v>664</v>
      </c>
    </row>
    <row r="247" spans="2:6" x14ac:dyDescent="0.3">
      <c r="B247" s="22" t="s">
        <v>346</v>
      </c>
      <c r="C247" s="19" t="s">
        <v>629</v>
      </c>
      <c r="D247" s="39">
        <v>244</v>
      </c>
      <c r="E247" s="30" t="s">
        <v>645</v>
      </c>
      <c r="F247" s="27">
        <v>1950</v>
      </c>
    </row>
    <row r="248" spans="2:6" x14ac:dyDescent="0.3">
      <c r="B248" s="22" t="s">
        <v>348</v>
      </c>
      <c r="C248" s="19" t="s">
        <v>667</v>
      </c>
      <c r="D248" s="39">
        <v>120</v>
      </c>
      <c r="E248" s="30" t="s">
        <v>645</v>
      </c>
      <c r="F248" s="27" t="s">
        <v>668</v>
      </c>
    </row>
    <row r="249" spans="2:6" x14ac:dyDescent="0.3">
      <c r="B249" s="22" t="s">
        <v>349</v>
      </c>
      <c r="C249" s="19" t="s">
        <v>630</v>
      </c>
      <c r="D249" s="39">
        <v>354</v>
      </c>
      <c r="E249" s="30" t="s">
        <v>645</v>
      </c>
      <c r="F249" s="27"/>
    </row>
    <row r="250" spans="2:6" x14ac:dyDescent="0.3">
      <c r="B250" s="22" t="s">
        <v>350</v>
      </c>
      <c r="C250" s="19" t="s">
        <v>631</v>
      </c>
      <c r="D250" s="39">
        <v>342</v>
      </c>
      <c r="E250" s="30" t="s">
        <v>645</v>
      </c>
      <c r="F250" s="27"/>
    </row>
    <row r="251" spans="2:6" x14ac:dyDescent="0.3">
      <c r="B251" s="22" t="s">
        <v>351</v>
      </c>
      <c r="C251" s="19" t="s">
        <v>990</v>
      </c>
      <c r="D251" s="39">
        <v>465</v>
      </c>
      <c r="E251" s="30" t="s">
        <v>645</v>
      </c>
      <c r="F251" s="27" t="s">
        <v>991</v>
      </c>
    </row>
    <row r="252" spans="2:6" x14ac:dyDescent="0.3">
      <c r="B252" s="22" t="s">
        <v>352</v>
      </c>
      <c r="C252" s="19" t="s">
        <v>632</v>
      </c>
      <c r="D252" s="39">
        <v>205</v>
      </c>
      <c r="E252" s="30" t="s">
        <v>645</v>
      </c>
      <c r="F252" s="27"/>
    </row>
    <row r="253" spans="2:6" x14ac:dyDescent="0.3">
      <c r="B253" s="22" t="s">
        <v>353</v>
      </c>
      <c r="C253" s="19" t="s">
        <v>633</v>
      </c>
      <c r="D253" s="39">
        <v>239</v>
      </c>
      <c r="E253" s="30" t="s">
        <v>645</v>
      </c>
      <c r="F253" s="27" t="s">
        <v>802</v>
      </c>
    </row>
    <row r="254" spans="2:6" x14ac:dyDescent="0.3">
      <c r="B254" s="22" t="s">
        <v>354</v>
      </c>
      <c r="C254" s="19" t="s">
        <v>634</v>
      </c>
      <c r="D254" s="39">
        <v>425</v>
      </c>
      <c r="E254" s="30" t="s">
        <v>645</v>
      </c>
      <c r="F254" s="27" t="s">
        <v>1010</v>
      </c>
    </row>
    <row r="255" spans="2:6" x14ac:dyDescent="0.3">
      <c r="B255" s="22" t="s">
        <v>355</v>
      </c>
      <c r="C255" s="19" t="s">
        <v>636</v>
      </c>
      <c r="D255" s="39">
        <v>411</v>
      </c>
      <c r="E255" s="30" t="s">
        <v>645</v>
      </c>
      <c r="F255" s="27" t="s">
        <v>635</v>
      </c>
    </row>
    <row r="256" spans="2:6" x14ac:dyDescent="0.3">
      <c r="B256" s="22" t="s">
        <v>377</v>
      </c>
      <c r="C256" s="19" t="s">
        <v>637</v>
      </c>
      <c r="D256" s="39">
        <v>166</v>
      </c>
      <c r="E256" s="30" t="s">
        <v>645</v>
      </c>
      <c r="F256" s="27" t="s">
        <v>1066</v>
      </c>
    </row>
    <row r="257" spans="2:6" x14ac:dyDescent="0.3">
      <c r="B257" s="22" t="s">
        <v>378</v>
      </c>
      <c r="C257" s="19" t="s">
        <v>639</v>
      </c>
      <c r="D257" s="39">
        <v>784</v>
      </c>
      <c r="E257" s="30" t="s">
        <v>645</v>
      </c>
      <c r="F257" s="27" t="s">
        <v>638</v>
      </c>
    </row>
    <row r="258" spans="2:6" x14ac:dyDescent="0.3">
      <c r="B258" s="22" t="s">
        <v>379</v>
      </c>
      <c r="C258" s="19" t="s">
        <v>640</v>
      </c>
      <c r="D258" s="39">
        <v>83</v>
      </c>
      <c r="E258" s="30" t="s">
        <v>645</v>
      </c>
      <c r="F258" s="27" t="s">
        <v>380</v>
      </c>
    </row>
    <row r="259" spans="2:6" x14ac:dyDescent="0.3">
      <c r="B259" s="22" t="s">
        <v>336</v>
      </c>
      <c r="C259" s="19" t="s">
        <v>873</v>
      </c>
      <c r="D259" s="39">
        <v>182</v>
      </c>
      <c r="E259" s="30" t="s">
        <v>645</v>
      </c>
      <c r="F259" s="27" t="s">
        <v>1092</v>
      </c>
    </row>
    <row r="260" spans="2:6" x14ac:dyDescent="0.3">
      <c r="B260" s="22" t="s">
        <v>381</v>
      </c>
      <c r="C260" s="19" t="s">
        <v>641</v>
      </c>
      <c r="D260" s="39">
        <v>510</v>
      </c>
      <c r="E260" s="30" t="s">
        <v>645</v>
      </c>
      <c r="F260" s="27" t="s">
        <v>359</v>
      </c>
    </row>
    <row r="261" spans="2:6" x14ac:dyDescent="0.3">
      <c r="B261" s="22" t="s">
        <v>382</v>
      </c>
      <c r="C261" s="19" t="s">
        <v>642</v>
      </c>
      <c r="D261" s="39">
        <v>467</v>
      </c>
      <c r="E261" s="30" t="s">
        <v>645</v>
      </c>
      <c r="F261" s="27" t="s">
        <v>825</v>
      </c>
    </row>
    <row r="262" spans="2:6" x14ac:dyDescent="0.3">
      <c r="B262" s="22" t="s">
        <v>383</v>
      </c>
      <c r="C262" s="19" t="s">
        <v>669</v>
      </c>
      <c r="D262" s="39">
        <v>466</v>
      </c>
      <c r="E262" s="30" t="s">
        <v>645</v>
      </c>
      <c r="F262" s="27" t="s">
        <v>367</v>
      </c>
    </row>
    <row r="263" spans="2:6" x14ac:dyDescent="0.3">
      <c r="B263" s="22" t="s">
        <v>384</v>
      </c>
      <c r="C263" s="19" t="s">
        <v>670</v>
      </c>
      <c r="D263" s="39">
        <v>159</v>
      </c>
      <c r="E263" s="30" t="s">
        <v>645</v>
      </c>
      <c r="F263" s="27" t="s">
        <v>1023</v>
      </c>
    </row>
    <row r="264" spans="2:6" x14ac:dyDescent="0.3">
      <c r="B264" s="22" t="s">
        <v>385</v>
      </c>
      <c r="C264" s="19" t="s">
        <v>671</v>
      </c>
      <c r="D264" s="39">
        <v>446</v>
      </c>
      <c r="E264" s="30" t="s">
        <v>645</v>
      </c>
      <c r="F264" s="27" t="s">
        <v>672</v>
      </c>
    </row>
    <row r="265" spans="2:6" x14ac:dyDescent="0.3">
      <c r="B265" s="22" t="s">
        <v>386</v>
      </c>
      <c r="C265" s="19" t="s">
        <v>674</v>
      </c>
      <c r="D265" s="39">
        <v>240</v>
      </c>
      <c r="E265" s="30" t="s">
        <v>645</v>
      </c>
      <c r="F265" s="27" t="s">
        <v>387</v>
      </c>
    </row>
    <row r="266" spans="2:6" x14ac:dyDescent="0.3">
      <c r="B266" s="22" t="s">
        <v>388</v>
      </c>
      <c r="C266" s="19" t="s">
        <v>673</v>
      </c>
      <c r="D266" s="39">
        <v>250</v>
      </c>
      <c r="E266" s="30" t="s">
        <v>645</v>
      </c>
      <c r="F266" s="27" t="s">
        <v>675</v>
      </c>
    </row>
    <row r="267" spans="2:6" x14ac:dyDescent="0.3">
      <c r="B267" s="22" t="s">
        <v>389</v>
      </c>
      <c r="C267" s="19" t="s">
        <v>676</v>
      </c>
      <c r="D267" s="39">
        <v>75</v>
      </c>
      <c r="E267" s="30" t="s">
        <v>645</v>
      </c>
      <c r="F267" s="27" t="s">
        <v>677</v>
      </c>
    </row>
    <row r="268" spans="2:6" x14ac:dyDescent="0.3">
      <c r="B268" s="22" t="s">
        <v>391</v>
      </c>
      <c r="C268" s="19" t="s">
        <v>678</v>
      </c>
      <c r="D268" s="39">
        <v>544</v>
      </c>
      <c r="E268" s="30" t="s">
        <v>645</v>
      </c>
      <c r="F268" s="27" t="s">
        <v>679</v>
      </c>
    </row>
    <row r="269" spans="2:6" x14ac:dyDescent="0.3">
      <c r="B269" s="22" t="s">
        <v>392</v>
      </c>
      <c r="C269" s="19" t="s">
        <v>680</v>
      </c>
      <c r="D269" s="39">
        <v>308</v>
      </c>
      <c r="E269" s="30" t="s">
        <v>645</v>
      </c>
      <c r="F269" s="27" t="s">
        <v>681</v>
      </c>
    </row>
    <row r="270" spans="2:6" x14ac:dyDescent="0.3">
      <c r="B270" s="22" t="s">
        <v>393</v>
      </c>
      <c r="C270" s="19" t="s">
        <v>682</v>
      </c>
      <c r="D270" s="39">
        <v>363</v>
      </c>
      <c r="E270" s="30" t="s">
        <v>645</v>
      </c>
      <c r="F270" s="27" t="s">
        <v>683</v>
      </c>
    </row>
    <row r="271" spans="2:6" x14ac:dyDescent="0.3">
      <c r="B271" s="22" t="s">
        <v>884</v>
      </c>
      <c r="C271" s="19" t="s">
        <v>882</v>
      </c>
      <c r="D271" s="39">
        <v>290.10000000000002</v>
      </c>
      <c r="E271" s="30" t="s">
        <v>645</v>
      </c>
      <c r="F271" s="27" t="s">
        <v>883</v>
      </c>
    </row>
    <row r="272" spans="2:6" x14ac:dyDescent="0.3">
      <c r="B272" s="22" t="s">
        <v>394</v>
      </c>
      <c r="C272" s="19"/>
      <c r="D272" s="39"/>
      <c r="E272" s="30" t="s">
        <v>645</v>
      </c>
      <c r="F272" s="27" t="s">
        <v>685</v>
      </c>
    </row>
    <row r="273" spans="2:6" x14ac:dyDescent="0.3">
      <c r="B273" s="22" t="s">
        <v>395</v>
      </c>
      <c r="C273" s="19" t="s">
        <v>684</v>
      </c>
      <c r="D273" s="39">
        <v>464</v>
      </c>
      <c r="E273" s="30" t="s">
        <v>645</v>
      </c>
      <c r="F273" s="27" t="s">
        <v>686</v>
      </c>
    </row>
    <row r="274" spans="2:6" x14ac:dyDescent="0.3">
      <c r="B274" s="22" t="s">
        <v>397</v>
      </c>
      <c r="C274" s="19" t="s">
        <v>687</v>
      </c>
      <c r="D274" s="39">
        <v>259</v>
      </c>
      <c r="E274" s="30" t="s">
        <v>645</v>
      </c>
      <c r="F274" s="27" t="s">
        <v>1091</v>
      </c>
    </row>
    <row r="275" spans="2:6" x14ac:dyDescent="0.3">
      <c r="B275" s="22" t="s">
        <v>398</v>
      </c>
      <c r="C275" s="19" t="s">
        <v>688</v>
      </c>
      <c r="D275" s="39"/>
      <c r="E275" s="30" t="s">
        <v>645</v>
      </c>
      <c r="F275" s="27" t="s">
        <v>689</v>
      </c>
    </row>
    <row r="276" spans="2:6" x14ac:dyDescent="0.3">
      <c r="B276" s="22" t="s">
        <v>399</v>
      </c>
      <c r="C276" s="19" t="s">
        <v>690</v>
      </c>
      <c r="D276" s="39">
        <v>209</v>
      </c>
      <c r="E276" s="30" t="s">
        <v>645</v>
      </c>
      <c r="F276" s="27" t="s">
        <v>362</v>
      </c>
    </row>
    <row r="277" spans="2:6" x14ac:dyDescent="0.3">
      <c r="B277" s="22" t="s">
        <v>400</v>
      </c>
      <c r="C277" s="19" t="s">
        <v>691</v>
      </c>
      <c r="D277" s="39">
        <v>36</v>
      </c>
      <c r="E277" s="30" t="s">
        <v>645</v>
      </c>
      <c r="F277" s="27" t="s">
        <v>692</v>
      </c>
    </row>
    <row r="278" spans="2:6" x14ac:dyDescent="0.3">
      <c r="B278" s="22" t="s">
        <v>401</v>
      </c>
      <c r="C278" s="19"/>
      <c r="D278" s="39"/>
      <c r="E278" s="30" t="s">
        <v>645</v>
      </c>
      <c r="F278" s="27" t="s">
        <v>238</v>
      </c>
    </row>
    <row r="279" spans="2:6" x14ac:dyDescent="0.3">
      <c r="B279" s="22" t="s">
        <v>402</v>
      </c>
      <c r="C279" s="19" t="s">
        <v>693</v>
      </c>
      <c r="D279" s="39">
        <v>148</v>
      </c>
      <c r="E279" s="30" t="s">
        <v>645</v>
      </c>
      <c r="F279" s="27" t="s">
        <v>694</v>
      </c>
    </row>
    <row r="280" spans="2:6" x14ac:dyDescent="0.3">
      <c r="B280" s="22" t="s">
        <v>403</v>
      </c>
      <c r="C280" s="19" t="s">
        <v>896</v>
      </c>
      <c r="D280" s="39">
        <v>426</v>
      </c>
      <c r="E280" s="30" t="s">
        <v>645</v>
      </c>
      <c r="F280" s="27" t="s">
        <v>895</v>
      </c>
    </row>
    <row r="281" spans="2:6" x14ac:dyDescent="0.3">
      <c r="B281" s="22" t="s">
        <v>404</v>
      </c>
      <c r="C281" s="19" t="s">
        <v>695</v>
      </c>
      <c r="D281" s="39">
        <v>585</v>
      </c>
      <c r="E281" s="30" t="s">
        <v>645</v>
      </c>
      <c r="F281" s="27" t="s">
        <v>1073</v>
      </c>
    </row>
    <row r="282" spans="2:6" x14ac:dyDescent="0.3">
      <c r="B282" s="22" t="s">
        <v>406</v>
      </c>
      <c r="C282" s="19" t="s">
        <v>696</v>
      </c>
      <c r="D282" s="39">
        <v>317</v>
      </c>
      <c r="E282" s="30" t="s">
        <v>645</v>
      </c>
      <c r="F282" s="27" t="s">
        <v>245</v>
      </c>
    </row>
    <row r="283" spans="2:6" x14ac:dyDescent="0.3">
      <c r="B283" s="22" t="s">
        <v>408</v>
      </c>
      <c r="C283" s="19" t="s">
        <v>702</v>
      </c>
      <c r="D283" s="39">
        <v>371</v>
      </c>
      <c r="E283" s="30" t="s">
        <v>645</v>
      </c>
      <c r="F283" s="27" t="s">
        <v>703</v>
      </c>
    </row>
    <row r="284" spans="2:6" x14ac:dyDescent="0.3">
      <c r="B284" s="22" t="s">
        <v>410</v>
      </c>
      <c r="C284" s="19" t="s">
        <v>704</v>
      </c>
      <c r="D284" s="39"/>
      <c r="E284" s="30" t="s">
        <v>645</v>
      </c>
      <c r="F284" s="27" t="s">
        <v>705</v>
      </c>
    </row>
    <row r="285" spans="2:6" x14ac:dyDescent="0.3">
      <c r="B285" s="22" t="s">
        <v>411</v>
      </c>
      <c r="C285" s="19" t="s">
        <v>706</v>
      </c>
      <c r="D285" s="39">
        <v>376</v>
      </c>
      <c r="E285" s="30" t="s">
        <v>645</v>
      </c>
      <c r="F285" s="27" t="s">
        <v>707</v>
      </c>
    </row>
    <row r="286" spans="2:6" x14ac:dyDescent="0.3">
      <c r="B286" s="22" t="s">
        <v>412</v>
      </c>
      <c r="C286" s="19" t="s">
        <v>708</v>
      </c>
      <c r="D286" s="39">
        <v>605</v>
      </c>
      <c r="E286" s="30" t="s">
        <v>645</v>
      </c>
      <c r="F286" s="27" t="s">
        <v>709</v>
      </c>
    </row>
    <row r="287" spans="2:6" x14ac:dyDescent="0.3">
      <c r="B287" s="22" t="s">
        <v>413</v>
      </c>
      <c r="C287" s="19" t="s">
        <v>710</v>
      </c>
      <c r="D287" s="39">
        <v>605</v>
      </c>
      <c r="E287" s="30" t="s">
        <v>645</v>
      </c>
      <c r="F287" s="27" t="s">
        <v>711</v>
      </c>
    </row>
    <row r="288" spans="2:6" x14ac:dyDescent="0.3">
      <c r="B288" s="22" t="s">
        <v>414</v>
      </c>
      <c r="C288" s="19" t="s">
        <v>712</v>
      </c>
      <c r="D288" s="39"/>
      <c r="E288" s="30" t="s">
        <v>645</v>
      </c>
      <c r="F288" s="27" t="s">
        <v>713</v>
      </c>
    </row>
    <row r="289" spans="2:6" x14ac:dyDescent="0.3">
      <c r="B289" s="22" t="s">
        <v>911</v>
      </c>
      <c r="C289" s="19" t="s">
        <v>912</v>
      </c>
      <c r="D289" s="39">
        <v>549.6</v>
      </c>
      <c r="E289" s="30" t="s">
        <v>645</v>
      </c>
      <c r="F289" s="27" t="s">
        <v>913</v>
      </c>
    </row>
    <row r="290" spans="2:6" x14ac:dyDescent="0.3">
      <c r="B290" s="22" t="s">
        <v>417</v>
      </c>
      <c r="C290" s="19" t="s">
        <v>608</v>
      </c>
      <c r="D290" s="39">
        <v>140</v>
      </c>
      <c r="E290" s="30" t="s">
        <v>645</v>
      </c>
      <c r="F290" s="27" t="s">
        <v>1024</v>
      </c>
    </row>
    <row r="291" spans="2:6" x14ac:dyDescent="0.3">
      <c r="B291" s="22" t="s">
        <v>428</v>
      </c>
      <c r="C291" s="19" t="s">
        <v>716</v>
      </c>
      <c r="D291" s="39">
        <v>516</v>
      </c>
      <c r="E291" s="30" t="s">
        <v>645</v>
      </c>
      <c r="F291" s="27" t="s">
        <v>717</v>
      </c>
    </row>
    <row r="292" spans="2:6" x14ac:dyDescent="0.3">
      <c r="B292" s="22" t="s">
        <v>418</v>
      </c>
      <c r="C292" s="19" t="s">
        <v>718</v>
      </c>
      <c r="D292" s="39">
        <v>122</v>
      </c>
      <c r="E292" s="30" t="s">
        <v>645</v>
      </c>
      <c r="F292" s="27" t="s">
        <v>241</v>
      </c>
    </row>
    <row r="293" spans="2:6" x14ac:dyDescent="0.3">
      <c r="B293" s="22" t="s">
        <v>419</v>
      </c>
      <c r="C293" s="19" t="s">
        <v>724</v>
      </c>
      <c r="D293" s="39">
        <v>2065</v>
      </c>
      <c r="E293" s="30" t="s">
        <v>645</v>
      </c>
      <c r="F293" s="27" t="s">
        <v>420</v>
      </c>
    </row>
    <row r="294" spans="2:6" x14ac:dyDescent="0.3">
      <c r="B294" s="22" t="s">
        <v>421</v>
      </c>
      <c r="C294" s="19" t="s">
        <v>725</v>
      </c>
      <c r="D294" s="39">
        <v>366</v>
      </c>
      <c r="E294" s="30" t="s">
        <v>645</v>
      </c>
      <c r="F294" s="27" t="s">
        <v>1061</v>
      </c>
    </row>
    <row r="295" spans="2:6" x14ac:dyDescent="0.3">
      <c r="B295" s="22" t="s">
        <v>422</v>
      </c>
      <c r="C295" s="19" t="s">
        <v>726</v>
      </c>
      <c r="D295" s="39">
        <v>215</v>
      </c>
      <c r="E295" s="30" t="s">
        <v>645</v>
      </c>
      <c r="F295" s="27" t="s">
        <v>376</v>
      </c>
    </row>
    <row r="296" spans="2:6" x14ac:dyDescent="0.3">
      <c r="B296" s="22" t="s">
        <v>423</v>
      </c>
      <c r="C296" s="19" t="s">
        <v>727</v>
      </c>
      <c r="D296" s="39">
        <v>452</v>
      </c>
      <c r="E296" s="30" t="s">
        <v>645</v>
      </c>
      <c r="F296" s="27" t="s">
        <v>364</v>
      </c>
    </row>
    <row r="297" spans="2:6" x14ac:dyDescent="0.3">
      <c r="B297" s="22" t="s">
        <v>416</v>
      </c>
      <c r="C297" s="19" t="s">
        <v>715</v>
      </c>
      <c r="D297" s="39">
        <v>268</v>
      </c>
      <c r="E297" s="30" t="s">
        <v>645</v>
      </c>
      <c r="F297" s="27" t="s">
        <v>714</v>
      </c>
    </row>
    <row r="298" spans="2:6" x14ac:dyDescent="0.3">
      <c r="B298" s="22" t="s">
        <v>974</v>
      </c>
      <c r="C298" s="19" t="s">
        <v>975</v>
      </c>
      <c r="D298" s="39">
        <v>1372</v>
      </c>
      <c r="E298" s="30" t="s">
        <v>645</v>
      </c>
      <c r="F298" s="27" t="s">
        <v>976</v>
      </c>
    </row>
    <row r="299" spans="2:6" x14ac:dyDescent="0.3">
      <c r="B299" s="22" t="s">
        <v>424</v>
      </c>
      <c r="C299" s="19" t="s">
        <v>728</v>
      </c>
      <c r="D299" s="39">
        <v>745</v>
      </c>
      <c r="E299" s="30" t="s">
        <v>645</v>
      </c>
      <c r="F299" s="27" t="s">
        <v>405</v>
      </c>
    </row>
    <row r="300" spans="2:6" x14ac:dyDescent="0.3">
      <c r="B300" s="22" t="s">
        <v>425</v>
      </c>
      <c r="C300" s="19" t="s">
        <v>729</v>
      </c>
      <c r="D300" s="39">
        <v>357</v>
      </c>
      <c r="E300" s="30" t="s">
        <v>645</v>
      </c>
      <c r="F300" s="27" t="s">
        <v>396</v>
      </c>
    </row>
    <row r="301" spans="2:6" x14ac:dyDescent="0.3">
      <c r="B301" s="22" t="s">
        <v>426</v>
      </c>
      <c r="C301" s="19"/>
      <c r="D301" s="39"/>
      <c r="E301" s="30" t="s">
        <v>645</v>
      </c>
      <c r="F301" s="27" t="s">
        <v>427</v>
      </c>
    </row>
    <row r="302" spans="2:6" x14ac:dyDescent="0.3">
      <c r="B302" s="22" t="s">
        <v>429</v>
      </c>
      <c r="C302" s="19" t="s">
        <v>898</v>
      </c>
      <c r="D302" s="39">
        <v>362.5</v>
      </c>
      <c r="E302" s="30" t="s">
        <v>645</v>
      </c>
      <c r="F302" s="27" t="s">
        <v>900</v>
      </c>
    </row>
    <row r="303" spans="2:6" x14ac:dyDescent="0.3">
      <c r="B303" s="22" t="s">
        <v>430</v>
      </c>
      <c r="C303" s="19"/>
      <c r="D303" s="39"/>
      <c r="E303" s="30" t="s">
        <v>645</v>
      </c>
      <c r="F303" s="27" t="s">
        <v>431</v>
      </c>
    </row>
    <row r="304" spans="2:6" ht="17.25" customHeight="1" x14ac:dyDescent="0.3">
      <c r="B304" s="22" t="s">
        <v>432</v>
      </c>
      <c r="C304" s="19" t="s">
        <v>730</v>
      </c>
      <c r="D304" s="39">
        <v>260</v>
      </c>
      <c r="E304" s="30" t="s">
        <v>645</v>
      </c>
      <c r="F304" s="27" t="s">
        <v>364</v>
      </c>
    </row>
    <row r="305" spans="2:6" x14ac:dyDescent="0.3">
      <c r="B305" s="22" t="s">
        <v>433</v>
      </c>
      <c r="C305" s="19" t="s">
        <v>731</v>
      </c>
      <c r="D305" s="39">
        <v>214</v>
      </c>
      <c r="E305" s="30" t="s">
        <v>645</v>
      </c>
      <c r="F305" s="27" t="s">
        <v>242</v>
      </c>
    </row>
    <row r="306" spans="2:6" x14ac:dyDescent="0.3">
      <c r="B306" s="22" t="s">
        <v>434</v>
      </c>
      <c r="C306" s="19" t="s">
        <v>732</v>
      </c>
      <c r="D306" s="39">
        <v>528.1</v>
      </c>
      <c r="E306" s="30" t="s">
        <v>645</v>
      </c>
      <c r="F306" s="27"/>
    </row>
    <row r="307" spans="2:6" x14ac:dyDescent="0.3">
      <c r="B307" s="22" t="s">
        <v>435</v>
      </c>
      <c r="C307" s="19" t="s">
        <v>733</v>
      </c>
      <c r="D307" s="39">
        <v>501.5</v>
      </c>
      <c r="E307" s="30" t="s">
        <v>645</v>
      </c>
      <c r="F307" s="27" t="s">
        <v>436</v>
      </c>
    </row>
    <row r="308" spans="2:6" x14ac:dyDescent="0.3">
      <c r="B308" s="22" t="s">
        <v>437</v>
      </c>
      <c r="C308" s="19" t="s">
        <v>734</v>
      </c>
      <c r="D308" s="39">
        <v>261.10000000000002</v>
      </c>
      <c r="E308" s="30" t="s">
        <v>645</v>
      </c>
      <c r="F308" s="27" t="s">
        <v>370</v>
      </c>
    </row>
    <row r="309" spans="2:6" x14ac:dyDescent="0.3">
      <c r="B309" s="22" t="s">
        <v>438</v>
      </c>
      <c r="C309" s="19" t="s">
        <v>735</v>
      </c>
      <c r="D309" s="39">
        <v>326.8</v>
      </c>
      <c r="E309" s="30" t="s">
        <v>645</v>
      </c>
      <c r="F309" s="27" t="s">
        <v>249</v>
      </c>
    </row>
    <row r="310" spans="2:6" x14ac:dyDescent="0.3">
      <c r="B310" s="22" t="s">
        <v>440</v>
      </c>
      <c r="C310" s="19"/>
      <c r="D310" s="39"/>
      <c r="E310" s="30" t="s">
        <v>645</v>
      </c>
      <c r="F310" s="27" t="s">
        <v>439</v>
      </c>
    </row>
    <row r="311" spans="2:6" x14ac:dyDescent="0.3">
      <c r="B311" s="22" t="s">
        <v>446</v>
      </c>
      <c r="C311" s="19" t="s">
        <v>737</v>
      </c>
      <c r="D311" s="39">
        <v>484.4</v>
      </c>
      <c r="E311" s="30" t="s">
        <v>645</v>
      </c>
      <c r="F311" s="27" t="s">
        <v>1081</v>
      </c>
    </row>
    <row r="312" spans="2:6" x14ac:dyDescent="0.3">
      <c r="B312" s="22" t="s">
        <v>447</v>
      </c>
      <c r="C312" s="19" t="s">
        <v>738</v>
      </c>
      <c r="D312" s="39">
        <v>753.2</v>
      </c>
      <c r="E312" s="30" t="s">
        <v>645</v>
      </c>
      <c r="F312" s="27" t="s">
        <v>448</v>
      </c>
    </row>
    <row r="313" spans="2:6" x14ac:dyDescent="0.3">
      <c r="B313" s="22" t="s">
        <v>871</v>
      </c>
      <c r="C313" s="19" t="s">
        <v>872</v>
      </c>
      <c r="D313" s="39">
        <v>437.6</v>
      </c>
      <c r="E313" s="30" t="s">
        <v>645</v>
      </c>
      <c r="F313" s="123" t="s">
        <v>874</v>
      </c>
    </row>
    <row r="314" spans="2:6" x14ac:dyDescent="0.3">
      <c r="B314" s="22" t="s">
        <v>449</v>
      </c>
      <c r="C314" s="19" t="s">
        <v>739</v>
      </c>
      <c r="D314" s="39">
        <v>582.9</v>
      </c>
      <c r="E314" s="30" t="s">
        <v>645</v>
      </c>
      <c r="F314" s="27" t="s">
        <v>451</v>
      </c>
    </row>
    <row r="315" spans="2:6" x14ac:dyDescent="0.3">
      <c r="B315" s="22" t="s">
        <v>450</v>
      </c>
      <c r="C315" s="19" t="s">
        <v>740</v>
      </c>
      <c r="D315" s="39">
        <v>447.2</v>
      </c>
      <c r="E315" s="30" t="s">
        <v>645</v>
      </c>
      <c r="F315" s="27" t="s">
        <v>361</v>
      </c>
    </row>
    <row r="316" spans="2:6" x14ac:dyDescent="0.3">
      <c r="B316" s="22" t="s">
        <v>474</v>
      </c>
      <c r="C316" s="19"/>
      <c r="D316" s="39"/>
      <c r="E316" s="30" t="s">
        <v>645</v>
      </c>
      <c r="F316" s="27" t="s">
        <v>475</v>
      </c>
    </row>
    <row r="317" spans="2:6" x14ac:dyDescent="0.3">
      <c r="B317" s="22" t="s">
        <v>452</v>
      </c>
      <c r="C317" s="19" t="s">
        <v>741</v>
      </c>
      <c r="D317" s="39">
        <v>1254.4000000000001</v>
      </c>
      <c r="E317" s="30" t="s">
        <v>645</v>
      </c>
      <c r="F317" s="27"/>
    </row>
    <row r="318" spans="2:6" x14ac:dyDescent="0.3">
      <c r="B318" s="22" t="s">
        <v>453</v>
      </c>
      <c r="C318" s="19" t="s">
        <v>742</v>
      </c>
      <c r="D318" s="39">
        <v>418.5</v>
      </c>
      <c r="E318" s="30" t="s">
        <v>645</v>
      </c>
      <c r="F318" s="27" t="s">
        <v>361</v>
      </c>
    </row>
    <row r="319" spans="2:6" x14ac:dyDescent="0.3">
      <c r="B319" s="22" t="s">
        <v>454</v>
      </c>
      <c r="C319" s="19" t="s">
        <v>743</v>
      </c>
      <c r="D319" s="39">
        <v>114.9</v>
      </c>
      <c r="E319" s="30" t="s">
        <v>645</v>
      </c>
      <c r="F319" s="27" t="s">
        <v>238</v>
      </c>
    </row>
    <row r="320" spans="2:6" x14ac:dyDescent="0.3">
      <c r="B320" s="22" t="s">
        <v>455</v>
      </c>
      <c r="C320" s="19" t="s">
        <v>744</v>
      </c>
      <c r="D320" s="39">
        <v>76</v>
      </c>
      <c r="E320" s="30" t="s">
        <v>645</v>
      </c>
      <c r="F320" s="27" t="s">
        <v>881</v>
      </c>
    </row>
    <row r="321" spans="2:6" x14ac:dyDescent="0.3">
      <c r="B321" s="22" t="s">
        <v>456</v>
      </c>
      <c r="C321" s="19" t="s">
        <v>745</v>
      </c>
      <c r="D321" s="39">
        <v>284.89999999999998</v>
      </c>
      <c r="E321" s="30" t="s">
        <v>645</v>
      </c>
      <c r="F321" s="27" t="s">
        <v>253</v>
      </c>
    </row>
    <row r="322" spans="2:6" x14ac:dyDescent="0.3">
      <c r="B322" s="22" t="s">
        <v>457</v>
      </c>
      <c r="C322" s="19" t="s">
        <v>746</v>
      </c>
      <c r="D322" s="39">
        <v>360.3</v>
      </c>
      <c r="E322" s="30" t="s">
        <v>645</v>
      </c>
      <c r="F322" s="27" t="s">
        <v>977</v>
      </c>
    </row>
    <row r="323" spans="2:6" x14ac:dyDescent="0.3">
      <c r="B323" s="22" t="s">
        <v>458</v>
      </c>
      <c r="C323" s="19" t="s">
        <v>747</v>
      </c>
      <c r="D323" s="39">
        <v>76.5</v>
      </c>
      <c r="E323" s="30" t="s">
        <v>645</v>
      </c>
      <c r="F323" s="27" t="s">
        <v>409</v>
      </c>
    </row>
    <row r="324" spans="2:6" x14ac:dyDescent="0.3">
      <c r="B324" s="22" t="s">
        <v>459</v>
      </c>
      <c r="C324" s="19" t="s">
        <v>748</v>
      </c>
      <c r="D324" s="39">
        <v>427.2</v>
      </c>
      <c r="E324" s="30" t="s">
        <v>645</v>
      </c>
      <c r="F324" s="27" t="s">
        <v>463</v>
      </c>
    </row>
    <row r="325" spans="2:6" x14ac:dyDescent="0.3">
      <c r="B325" s="22" t="s">
        <v>135</v>
      </c>
      <c r="C325" s="19" t="s">
        <v>137</v>
      </c>
      <c r="D325" s="39">
        <v>1265</v>
      </c>
      <c r="E325" s="30" t="s">
        <v>645</v>
      </c>
      <c r="F325" s="27" t="s">
        <v>1018</v>
      </c>
    </row>
    <row r="326" spans="2:6" x14ac:dyDescent="0.3">
      <c r="B326" s="22" t="s">
        <v>460</v>
      </c>
      <c r="C326" s="19" t="s">
        <v>749</v>
      </c>
      <c r="D326" s="39">
        <v>522.29999999999995</v>
      </c>
      <c r="E326" s="30" t="s">
        <v>645</v>
      </c>
      <c r="F326" s="27" t="s">
        <v>461</v>
      </c>
    </row>
    <row r="327" spans="2:6" x14ac:dyDescent="0.3">
      <c r="B327" s="22" t="s">
        <v>462</v>
      </c>
      <c r="C327" s="19" t="s">
        <v>750</v>
      </c>
      <c r="D327" s="39">
        <v>389.5</v>
      </c>
      <c r="E327" s="30" t="s">
        <v>645</v>
      </c>
      <c r="F327" s="27" t="s">
        <v>359</v>
      </c>
    </row>
    <row r="328" spans="2:6" x14ac:dyDescent="0.3">
      <c r="B328" s="22" t="s">
        <v>464</v>
      </c>
      <c r="C328" s="19"/>
      <c r="D328" s="39"/>
      <c r="E328" s="30" t="s">
        <v>645</v>
      </c>
      <c r="F328" s="27" t="s">
        <v>361</v>
      </c>
    </row>
    <row r="329" spans="2:6" x14ac:dyDescent="0.3">
      <c r="B329" s="22" t="s">
        <v>465</v>
      </c>
      <c r="C329" s="19" t="s">
        <v>660</v>
      </c>
      <c r="D329" s="39">
        <v>520</v>
      </c>
      <c r="E329" s="30" t="s">
        <v>645</v>
      </c>
      <c r="F329" s="27" t="s">
        <v>445</v>
      </c>
    </row>
    <row r="330" spans="2:6" x14ac:dyDescent="0.3">
      <c r="B330" s="22" t="s">
        <v>466</v>
      </c>
      <c r="C330" s="19" t="s">
        <v>751</v>
      </c>
      <c r="D330" s="39">
        <v>446.6</v>
      </c>
      <c r="E330" s="30" t="s">
        <v>645</v>
      </c>
      <c r="F330" s="27" t="s">
        <v>467</v>
      </c>
    </row>
    <row r="331" spans="2:6" x14ac:dyDescent="0.3">
      <c r="B331" s="22" t="s">
        <v>468</v>
      </c>
      <c r="C331" s="19" t="s">
        <v>752</v>
      </c>
      <c r="D331" s="39">
        <v>58.5</v>
      </c>
      <c r="E331" s="30" t="s">
        <v>645</v>
      </c>
      <c r="F331" s="27" t="s">
        <v>986</v>
      </c>
    </row>
    <row r="332" spans="2:6" x14ac:dyDescent="0.3">
      <c r="B332" s="22" t="s">
        <v>469</v>
      </c>
      <c r="C332" s="19" t="s">
        <v>753</v>
      </c>
      <c r="D332" s="39">
        <v>207</v>
      </c>
      <c r="E332" s="30" t="s">
        <v>645</v>
      </c>
      <c r="F332" s="27" t="s">
        <v>1005</v>
      </c>
    </row>
    <row r="333" spans="2:6" x14ac:dyDescent="0.3">
      <c r="B333" s="22" t="s">
        <v>470</v>
      </c>
      <c r="C333" s="19" t="s">
        <v>754</v>
      </c>
      <c r="D333" s="39">
        <v>51.8</v>
      </c>
      <c r="E333" s="30" t="s">
        <v>645</v>
      </c>
      <c r="F333" s="27" t="s">
        <v>365</v>
      </c>
    </row>
    <row r="334" spans="2:6" x14ac:dyDescent="0.3">
      <c r="B334" s="22" t="s">
        <v>471</v>
      </c>
      <c r="C334" s="19" t="s">
        <v>756</v>
      </c>
      <c r="D334" s="39">
        <v>257.39999999999998</v>
      </c>
      <c r="E334" s="30" t="s">
        <v>645</v>
      </c>
      <c r="F334" s="27" t="s">
        <v>755</v>
      </c>
    </row>
    <row r="335" spans="2:6" x14ac:dyDescent="0.3">
      <c r="B335" s="22" t="s">
        <v>472</v>
      </c>
      <c r="C335" s="19" t="s">
        <v>757</v>
      </c>
      <c r="D335" s="39">
        <v>161.80000000000001</v>
      </c>
      <c r="E335" s="30" t="s">
        <v>645</v>
      </c>
      <c r="F335" s="27" t="s">
        <v>363</v>
      </c>
    </row>
    <row r="336" spans="2:6" x14ac:dyDescent="0.3">
      <c r="B336" s="22" t="s">
        <v>441</v>
      </c>
      <c r="C336" s="19" t="s">
        <v>854</v>
      </c>
      <c r="D336" s="39">
        <v>661.8</v>
      </c>
      <c r="E336" s="30" t="s">
        <v>645</v>
      </c>
      <c r="F336" s="27" t="s">
        <v>1014</v>
      </c>
    </row>
    <row r="337" spans="2:6" x14ac:dyDescent="0.3">
      <c r="B337" s="22" t="s">
        <v>442</v>
      </c>
      <c r="C337" s="19" t="s">
        <v>736</v>
      </c>
      <c r="D337" s="39">
        <v>382.9</v>
      </c>
      <c r="E337" s="30" t="s">
        <v>645</v>
      </c>
      <c r="F337" s="27" t="s">
        <v>372</v>
      </c>
    </row>
    <row r="338" spans="2:6" x14ac:dyDescent="0.3">
      <c r="B338" s="22" t="s">
        <v>443</v>
      </c>
      <c r="C338" s="19" t="s">
        <v>994</v>
      </c>
      <c r="D338" s="39">
        <v>366</v>
      </c>
      <c r="E338" s="30" t="s">
        <v>645</v>
      </c>
      <c r="F338" s="27" t="s">
        <v>359</v>
      </c>
    </row>
    <row r="339" spans="2:6" x14ac:dyDescent="0.3">
      <c r="B339" s="22" t="s">
        <v>444</v>
      </c>
      <c r="C339" s="19"/>
      <c r="D339" s="39"/>
      <c r="E339" s="30" t="s">
        <v>645</v>
      </c>
      <c r="F339" s="27" t="s">
        <v>1013</v>
      </c>
    </row>
    <row r="340" spans="2:6" x14ac:dyDescent="0.3">
      <c r="B340" s="22" t="s">
        <v>291</v>
      </c>
      <c r="C340" s="19"/>
      <c r="D340" s="39"/>
      <c r="E340" s="30" t="s">
        <v>645</v>
      </c>
      <c r="F340" s="27" t="s">
        <v>360</v>
      </c>
    </row>
    <row r="341" spans="2:6" x14ac:dyDescent="0.3">
      <c r="B341" s="22" t="s">
        <v>473</v>
      </c>
      <c r="C341" s="19" t="s">
        <v>758</v>
      </c>
      <c r="D341" s="39">
        <v>369</v>
      </c>
      <c r="E341" s="30" t="s">
        <v>645</v>
      </c>
      <c r="F341" s="27" t="s">
        <v>361</v>
      </c>
    </row>
    <row r="342" spans="2:6" x14ac:dyDescent="0.3">
      <c r="B342" s="22" t="s">
        <v>927</v>
      </c>
      <c r="C342" s="19" t="s">
        <v>928</v>
      </c>
      <c r="D342" s="39">
        <v>100</v>
      </c>
      <c r="E342" s="30" t="s">
        <v>645</v>
      </c>
      <c r="F342" s="27" t="s">
        <v>929</v>
      </c>
    </row>
    <row r="343" spans="2:6" x14ac:dyDescent="0.3">
      <c r="B343" s="22" t="s">
        <v>917</v>
      </c>
      <c r="C343" s="19"/>
      <c r="D343" s="39">
        <f>426+20</f>
        <v>446</v>
      </c>
      <c r="E343" s="30" t="s">
        <v>645</v>
      </c>
      <c r="F343" s="27" t="s">
        <v>918</v>
      </c>
    </row>
    <row r="344" spans="2:6" x14ac:dyDescent="0.3">
      <c r="B344" s="22" t="s">
        <v>476</v>
      </c>
      <c r="C344" s="19" t="s">
        <v>759</v>
      </c>
      <c r="D344" s="39">
        <v>292.89999999999998</v>
      </c>
      <c r="E344" s="30" t="s">
        <v>645</v>
      </c>
      <c r="F344" s="27" t="s">
        <v>359</v>
      </c>
    </row>
    <row r="345" spans="2:6" x14ac:dyDescent="0.3">
      <c r="B345" s="22" t="s">
        <v>477</v>
      </c>
      <c r="C345" s="19" t="s">
        <v>760</v>
      </c>
      <c r="D345" s="39">
        <v>696</v>
      </c>
      <c r="E345" s="30" t="s">
        <v>645</v>
      </c>
      <c r="F345" s="27"/>
    </row>
    <row r="346" spans="2:6" x14ac:dyDescent="0.3">
      <c r="B346" s="22" t="s">
        <v>478</v>
      </c>
      <c r="C346" s="19" t="s">
        <v>761</v>
      </c>
      <c r="D346" s="39">
        <v>192.6</v>
      </c>
      <c r="E346" s="30" t="s">
        <v>645</v>
      </c>
      <c r="F346" s="27" t="s">
        <v>439</v>
      </c>
    </row>
    <row r="347" spans="2:6" x14ac:dyDescent="0.3">
      <c r="B347" s="22" t="s">
        <v>479</v>
      </c>
      <c r="C347" s="19" t="s">
        <v>762</v>
      </c>
      <c r="D347" s="39">
        <v>132.1</v>
      </c>
      <c r="E347" s="30" t="s">
        <v>645</v>
      </c>
      <c r="F347" s="27" t="s">
        <v>480</v>
      </c>
    </row>
    <row r="348" spans="2:6" x14ac:dyDescent="0.3">
      <c r="B348" s="22" t="s">
        <v>481</v>
      </c>
      <c r="C348" s="19"/>
      <c r="D348" s="39"/>
      <c r="E348" s="30" t="s">
        <v>645</v>
      </c>
      <c r="F348" s="27" t="s">
        <v>482</v>
      </c>
    </row>
    <row r="349" spans="2:6" x14ac:dyDescent="0.3">
      <c r="B349" s="22" t="s">
        <v>483</v>
      </c>
      <c r="C349" s="19" t="s">
        <v>763</v>
      </c>
      <c r="D349" s="39">
        <v>203.5</v>
      </c>
      <c r="E349" s="30" t="s">
        <v>645</v>
      </c>
      <c r="F349" s="27" t="s">
        <v>980</v>
      </c>
    </row>
    <row r="350" spans="2:6" x14ac:dyDescent="0.3">
      <c r="B350" s="22" t="s">
        <v>484</v>
      </c>
      <c r="C350" s="19" t="s">
        <v>764</v>
      </c>
      <c r="D350" s="39">
        <v>68.099999999999994</v>
      </c>
      <c r="E350" s="30" t="s">
        <v>645</v>
      </c>
      <c r="F350" s="27" t="s">
        <v>467</v>
      </c>
    </row>
    <row r="351" spans="2:6" x14ac:dyDescent="0.3">
      <c r="B351" s="22" t="s">
        <v>485</v>
      </c>
      <c r="C351" s="19" t="s">
        <v>766</v>
      </c>
      <c r="D351" s="39">
        <v>227.8</v>
      </c>
      <c r="E351" s="30" t="s">
        <v>645</v>
      </c>
      <c r="F351" s="27" t="s">
        <v>448</v>
      </c>
    </row>
    <row r="352" spans="2:6" x14ac:dyDescent="0.3">
      <c r="B352" s="22" t="s">
        <v>486</v>
      </c>
      <c r="C352" s="19" t="s">
        <v>765</v>
      </c>
      <c r="D352" s="39">
        <v>246.7</v>
      </c>
      <c r="E352" s="30" t="s">
        <v>645</v>
      </c>
      <c r="F352" s="27" t="s">
        <v>368</v>
      </c>
    </row>
    <row r="353" spans="2:6" x14ac:dyDescent="0.3">
      <c r="B353" s="22" t="s">
        <v>487</v>
      </c>
      <c r="C353" s="19" t="s">
        <v>1016</v>
      </c>
      <c r="D353" s="39">
        <v>201.7</v>
      </c>
      <c r="E353" s="30" t="s">
        <v>645</v>
      </c>
      <c r="F353" s="27" t="s">
        <v>1017</v>
      </c>
    </row>
    <row r="354" spans="2:6" x14ac:dyDescent="0.3">
      <c r="B354" s="22" t="s">
        <v>488</v>
      </c>
      <c r="C354" s="19" t="s">
        <v>767</v>
      </c>
      <c r="D354" s="39">
        <v>97.6</v>
      </c>
      <c r="E354" s="30" t="s">
        <v>645</v>
      </c>
      <c r="F354" s="27" t="s">
        <v>489</v>
      </c>
    </row>
    <row r="355" spans="2:6" x14ac:dyDescent="0.3">
      <c r="B355" s="22" t="s">
        <v>490</v>
      </c>
      <c r="C355" s="19"/>
      <c r="D355" s="39"/>
      <c r="E355" s="30" t="s">
        <v>645</v>
      </c>
      <c r="F355" s="27" t="s">
        <v>390</v>
      </c>
    </row>
    <row r="356" spans="2:6" x14ac:dyDescent="0.3">
      <c r="B356" s="22" t="s">
        <v>491</v>
      </c>
      <c r="C356" s="19" t="s">
        <v>768</v>
      </c>
      <c r="D356" s="39">
        <v>952.6</v>
      </c>
      <c r="E356" s="30" t="s">
        <v>645</v>
      </c>
      <c r="F356" s="27"/>
    </row>
    <row r="357" spans="2:6" x14ac:dyDescent="0.3">
      <c r="B357" s="22" t="s">
        <v>492</v>
      </c>
      <c r="C357" s="19"/>
      <c r="D357" s="39"/>
      <c r="E357" s="30" t="s">
        <v>645</v>
      </c>
      <c r="F357" s="27" t="s">
        <v>493</v>
      </c>
    </row>
    <row r="358" spans="2:6" x14ac:dyDescent="0.3">
      <c r="B358" s="22" t="s">
        <v>494</v>
      </c>
      <c r="C358" s="19" t="s">
        <v>769</v>
      </c>
      <c r="D358" s="39">
        <v>602</v>
      </c>
      <c r="E358" s="30" t="s">
        <v>645</v>
      </c>
      <c r="F358" s="27" t="s">
        <v>243</v>
      </c>
    </row>
    <row r="359" spans="2:6" x14ac:dyDescent="0.3">
      <c r="B359" s="22" t="s">
        <v>495</v>
      </c>
      <c r="C359" s="19" t="s">
        <v>770</v>
      </c>
      <c r="D359" s="39">
        <v>161.5</v>
      </c>
      <c r="E359" s="30" t="s">
        <v>645</v>
      </c>
      <c r="F359" s="27" t="s">
        <v>360</v>
      </c>
    </row>
    <row r="360" spans="2:6" x14ac:dyDescent="0.3">
      <c r="B360" s="22" t="s">
        <v>496</v>
      </c>
      <c r="C360" s="19" t="s">
        <v>771</v>
      </c>
      <c r="D360" s="39">
        <v>504.1</v>
      </c>
      <c r="E360" s="30" t="s">
        <v>645</v>
      </c>
      <c r="F360" s="27" t="s">
        <v>361</v>
      </c>
    </row>
    <row r="361" spans="2:6" x14ac:dyDescent="0.3">
      <c r="B361" s="22" t="s">
        <v>497</v>
      </c>
      <c r="C361" s="19" t="s">
        <v>772</v>
      </c>
      <c r="D361" s="39">
        <v>787.9</v>
      </c>
      <c r="E361" s="30" t="s">
        <v>645</v>
      </c>
      <c r="F361" s="27" t="s">
        <v>405</v>
      </c>
    </row>
    <row r="362" spans="2:6" x14ac:dyDescent="0.3">
      <c r="B362" s="22" t="s">
        <v>773</v>
      </c>
      <c r="C362" s="19" t="s">
        <v>774</v>
      </c>
      <c r="D362" s="39">
        <v>222.6</v>
      </c>
      <c r="E362" s="30" t="s">
        <v>645</v>
      </c>
      <c r="F362" s="27"/>
    </row>
    <row r="363" spans="2:6" x14ac:dyDescent="0.3">
      <c r="B363" s="22" t="s">
        <v>498</v>
      </c>
      <c r="C363" s="19" t="s">
        <v>775</v>
      </c>
      <c r="D363" s="39">
        <v>508.8</v>
      </c>
      <c r="E363" s="30" t="s">
        <v>645</v>
      </c>
      <c r="F363" s="27" t="s">
        <v>243</v>
      </c>
    </row>
    <row r="364" spans="2:6" x14ac:dyDescent="0.3">
      <c r="B364" s="22" t="s">
        <v>499</v>
      </c>
      <c r="C364" s="19"/>
      <c r="D364" s="39"/>
      <c r="E364" s="30" t="s">
        <v>645</v>
      </c>
      <c r="F364" s="27" t="s">
        <v>500</v>
      </c>
    </row>
    <row r="365" spans="2:6" x14ac:dyDescent="0.3">
      <c r="B365" s="22" t="s">
        <v>347</v>
      </c>
      <c r="C365" s="19" t="s">
        <v>666</v>
      </c>
      <c r="D365" s="39"/>
      <c r="E365" s="30" t="s">
        <v>645</v>
      </c>
      <c r="F365" s="27" t="s">
        <v>665</v>
      </c>
    </row>
    <row r="366" spans="2:6" x14ac:dyDescent="0.3">
      <c r="B366" s="22" t="s">
        <v>501</v>
      </c>
      <c r="C366" s="19" t="s">
        <v>996</v>
      </c>
      <c r="D366" s="39">
        <v>550</v>
      </c>
      <c r="E366" s="30" t="s">
        <v>645</v>
      </c>
      <c r="F366" s="27" t="s">
        <v>357</v>
      </c>
    </row>
    <row r="367" spans="2:6" x14ac:dyDescent="0.3">
      <c r="B367" s="22" t="s">
        <v>502</v>
      </c>
      <c r="C367" s="19" t="s">
        <v>652</v>
      </c>
      <c r="D367" s="39">
        <v>335</v>
      </c>
      <c r="E367" s="30" t="s">
        <v>645</v>
      </c>
      <c r="F367" s="27" t="s">
        <v>992</v>
      </c>
    </row>
    <row r="368" spans="2:6" x14ac:dyDescent="0.3">
      <c r="B368" s="22" t="s">
        <v>503</v>
      </c>
      <c r="C368" s="19" t="s">
        <v>776</v>
      </c>
      <c r="D368" s="39">
        <v>233.2</v>
      </c>
      <c r="E368" s="30" t="s">
        <v>645</v>
      </c>
      <c r="F368" s="27" t="s">
        <v>366</v>
      </c>
    </row>
    <row r="369" spans="2:6" x14ac:dyDescent="0.3">
      <c r="B369" s="22" t="s">
        <v>504</v>
      </c>
      <c r="C369" s="19"/>
      <c r="D369" s="39"/>
      <c r="E369" s="30" t="s">
        <v>645</v>
      </c>
      <c r="F369" s="27" t="s">
        <v>241</v>
      </c>
    </row>
    <row r="370" spans="2:6" x14ac:dyDescent="0.3">
      <c r="B370" s="22" t="s">
        <v>505</v>
      </c>
      <c r="C370" s="19" t="s">
        <v>777</v>
      </c>
      <c r="D370" s="39">
        <v>442.9</v>
      </c>
      <c r="E370" s="30" t="s">
        <v>645</v>
      </c>
      <c r="F370" s="27" t="s">
        <v>250</v>
      </c>
    </row>
    <row r="371" spans="2:6" x14ac:dyDescent="0.3">
      <c r="B371" s="22" t="s">
        <v>998</v>
      </c>
      <c r="C371" s="19" t="s">
        <v>1075</v>
      </c>
      <c r="D371" s="39">
        <v>60</v>
      </c>
      <c r="E371" s="30" t="s">
        <v>654</v>
      </c>
      <c r="F371" s="27" t="s">
        <v>1077</v>
      </c>
    </row>
    <row r="372" spans="2:6" x14ac:dyDescent="0.3">
      <c r="B372" s="22" t="s">
        <v>653</v>
      </c>
      <c r="C372" s="19" t="s">
        <v>655</v>
      </c>
      <c r="D372" s="39">
        <v>212</v>
      </c>
      <c r="E372" s="30" t="s">
        <v>654</v>
      </c>
      <c r="F372" s="27" t="s">
        <v>656</v>
      </c>
    </row>
    <row r="373" spans="2:6" x14ac:dyDescent="0.3">
      <c r="B373" s="22" t="s">
        <v>506</v>
      </c>
      <c r="C373" s="19" t="s">
        <v>778</v>
      </c>
      <c r="D373" s="39">
        <v>317.89999999999998</v>
      </c>
      <c r="E373" s="30" t="s">
        <v>645</v>
      </c>
      <c r="F373" s="27" t="s">
        <v>475</v>
      </c>
    </row>
    <row r="374" spans="2:6" x14ac:dyDescent="0.3">
      <c r="B374" s="22" t="s">
        <v>507</v>
      </c>
      <c r="C374" s="19" t="s">
        <v>779</v>
      </c>
      <c r="D374" s="39">
        <v>372.6</v>
      </c>
      <c r="E374" s="30" t="s">
        <v>645</v>
      </c>
      <c r="F374" s="27" t="s">
        <v>508</v>
      </c>
    </row>
    <row r="375" spans="2:6" x14ac:dyDescent="0.3">
      <c r="B375" s="22" t="s">
        <v>509</v>
      </c>
      <c r="C375" s="19" t="s">
        <v>780</v>
      </c>
      <c r="D375" s="39">
        <v>445.7</v>
      </c>
      <c r="E375" s="30" t="s">
        <v>645</v>
      </c>
      <c r="F375" s="27" t="s">
        <v>238</v>
      </c>
    </row>
    <row r="376" spans="2:6" x14ac:dyDescent="0.3">
      <c r="B376" s="22" t="s">
        <v>510</v>
      </c>
      <c r="C376" s="19" t="s">
        <v>781</v>
      </c>
      <c r="D376" s="39">
        <v>315.3</v>
      </c>
      <c r="E376" s="30" t="s">
        <v>645</v>
      </c>
      <c r="F376" s="27" t="s">
        <v>361</v>
      </c>
    </row>
    <row r="377" spans="2:6" x14ac:dyDescent="0.3">
      <c r="B377" s="22" t="s">
        <v>511</v>
      </c>
      <c r="C377" s="19" t="s">
        <v>782</v>
      </c>
      <c r="D377" s="39">
        <v>38.5</v>
      </c>
      <c r="E377" s="30" t="s">
        <v>645</v>
      </c>
      <c r="F377" s="27" t="s">
        <v>363</v>
      </c>
    </row>
    <row r="378" spans="2:6" x14ac:dyDescent="0.3">
      <c r="B378" s="22" t="s">
        <v>698</v>
      </c>
      <c r="C378" s="19" t="s">
        <v>699</v>
      </c>
      <c r="D378" s="39">
        <v>314</v>
      </c>
      <c r="E378" s="30" t="s">
        <v>645</v>
      </c>
      <c r="F378" s="27" t="s">
        <v>700</v>
      </c>
    </row>
    <row r="379" spans="2:6" x14ac:dyDescent="0.3">
      <c r="B379" s="22" t="s">
        <v>407</v>
      </c>
      <c r="C379" s="19" t="s">
        <v>697</v>
      </c>
      <c r="D379" s="39">
        <v>326</v>
      </c>
      <c r="E379" s="30" t="s">
        <v>645</v>
      </c>
      <c r="F379" s="27" t="s">
        <v>701</v>
      </c>
    </row>
    <row r="380" spans="2:6" x14ac:dyDescent="0.3">
      <c r="B380" s="22" t="s">
        <v>512</v>
      </c>
      <c r="C380" s="19" t="s">
        <v>783</v>
      </c>
      <c r="D380" s="39">
        <v>314.60000000000002</v>
      </c>
      <c r="E380" s="30" t="s">
        <v>645</v>
      </c>
      <c r="F380" s="27" t="s">
        <v>513</v>
      </c>
    </row>
    <row r="381" spans="2:6" x14ac:dyDescent="0.3">
      <c r="B381" s="22" t="s">
        <v>514</v>
      </c>
      <c r="C381" s="19" t="s">
        <v>784</v>
      </c>
      <c r="D381" s="39">
        <v>494.8</v>
      </c>
      <c r="E381" s="30" t="s">
        <v>645</v>
      </c>
      <c r="F381" s="27"/>
    </row>
    <row r="382" spans="2:6" x14ac:dyDescent="0.3">
      <c r="B382" s="22" t="s">
        <v>515</v>
      </c>
      <c r="C382" s="19" t="s">
        <v>785</v>
      </c>
      <c r="D382" s="39">
        <v>339.9</v>
      </c>
      <c r="E382" s="30" t="s">
        <v>645</v>
      </c>
      <c r="F382" s="27" t="s">
        <v>372</v>
      </c>
    </row>
    <row r="383" spans="2:6" x14ac:dyDescent="0.3">
      <c r="B383" s="22" t="s">
        <v>516</v>
      </c>
      <c r="C383" s="19" t="s">
        <v>132</v>
      </c>
      <c r="D383" s="39">
        <v>685.2</v>
      </c>
      <c r="E383" s="30" t="s">
        <v>645</v>
      </c>
      <c r="F383" s="27" t="s">
        <v>517</v>
      </c>
    </row>
    <row r="384" spans="2:6" x14ac:dyDescent="0.3">
      <c r="B384" s="22" t="s">
        <v>857</v>
      </c>
      <c r="C384" s="19" t="s">
        <v>855</v>
      </c>
      <c r="D384" s="39">
        <v>306</v>
      </c>
      <c r="E384" s="30" t="s">
        <v>645</v>
      </c>
      <c r="F384" s="27" t="s">
        <v>858</v>
      </c>
    </row>
    <row r="385" spans="2:6" x14ac:dyDescent="0.3">
      <c r="B385" s="22" t="s">
        <v>518</v>
      </c>
      <c r="C385" s="19" t="s">
        <v>786</v>
      </c>
      <c r="D385" s="39">
        <v>108.6</v>
      </c>
      <c r="E385" s="30" t="s">
        <v>645</v>
      </c>
      <c r="F385" s="27" t="s">
        <v>926</v>
      </c>
    </row>
    <row r="386" spans="2:6" x14ac:dyDescent="0.3">
      <c r="B386" s="22" t="s">
        <v>859</v>
      </c>
      <c r="C386" s="19" t="s">
        <v>860</v>
      </c>
      <c r="D386" s="39">
        <v>1233</v>
      </c>
      <c r="E386" s="30" t="s">
        <v>645</v>
      </c>
      <c r="F386" s="27" t="s">
        <v>861</v>
      </c>
    </row>
    <row r="387" spans="2:6" x14ac:dyDescent="0.3">
      <c r="B387" s="22" t="s">
        <v>519</v>
      </c>
      <c r="C387" s="19" t="s">
        <v>787</v>
      </c>
      <c r="D387" s="39">
        <v>363.1</v>
      </c>
      <c r="E387" s="30" t="s">
        <v>645</v>
      </c>
      <c r="F387" s="27" t="s">
        <v>359</v>
      </c>
    </row>
    <row r="388" spans="2:6" x14ac:dyDescent="0.3">
      <c r="B388" s="22" t="s">
        <v>520</v>
      </c>
      <c r="C388" s="19" t="s">
        <v>914</v>
      </c>
      <c r="D388" s="39">
        <v>620</v>
      </c>
      <c r="E388" s="30" t="s">
        <v>645</v>
      </c>
      <c r="F388" s="27" t="s">
        <v>915</v>
      </c>
    </row>
    <row r="389" spans="2:6" x14ac:dyDescent="0.3">
      <c r="B389" s="22" t="s">
        <v>522</v>
      </c>
      <c r="C389" s="19" t="s">
        <v>789</v>
      </c>
      <c r="D389" s="39">
        <v>553.1</v>
      </c>
      <c r="E389" s="30" t="s">
        <v>645</v>
      </c>
      <c r="F389" s="27" t="s">
        <v>359</v>
      </c>
    </row>
    <row r="390" spans="2:6" x14ac:dyDescent="0.3">
      <c r="B390" s="22" t="s">
        <v>523</v>
      </c>
      <c r="C390" s="19" t="s">
        <v>788</v>
      </c>
      <c r="D390" s="39">
        <v>29.6</v>
      </c>
      <c r="E390" s="30" t="s">
        <v>645</v>
      </c>
      <c r="F390" s="27" t="s">
        <v>536</v>
      </c>
    </row>
    <row r="391" spans="2:6" x14ac:dyDescent="0.3">
      <c r="B391" s="22" t="s">
        <v>657</v>
      </c>
      <c r="C391" s="19" t="s">
        <v>658</v>
      </c>
      <c r="D391" s="39"/>
      <c r="E391" s="30" t="s">
        <v>645</v>
      </c>
      <c r="F391" s="27" t="s">
        <v>524</v>
      </c>
    </row>
    <row r="392" spans="2:6" x14ac:dyDescent="0.3">
      <c r="B392" s="22" t="s">
        <v>526</v>
      </c>
      <c r="C392" s="19" t="s">
        <v>790</v>
      </c>
      <c r="D392" s="39">
        <v>421.6</v>
      </c>
      <c r="E392" s="30" t="s">
        <v>645</v>
      </c>
      <c r="F392" s="27" t="s">
        <v>361</v>
      </c>
    </row>
    <row r="393" spans="2:6" x14ac:dyDescent="0.3">
      <c r="B393" s="22" t="s">
        <v>525</v>
      </c>
      <c r="C393" s="19" t="s">
        <v>849</v>
      </c>
      <c r="D393" s="39">
        <v>434.5</v>
      </c>
      <c r="E393" s="30" t="s">
        <v>654</v>
      </c>
      <c r="F393" s="27" t="s">
        <v>850</v>
      </c>
    </row>
    <row r="394" spans="2:6" x14ac:dyDescent="0.3">
      <c r="B394" s="22" t="s">
        <v>527</v>
      </c>
      <c r="C394" s="19"/>
      <c r="D394" s="39"/>
      <c r="E394" s="30" t="s">
        <v>645</v>
      </c>
      <c r="F394" s="27" t="s">
        <v>415</v>
      </c>
    </row>
    <row r="395" spans="2:6" x14ac:dyDescent="0.3">
      <c r="B395" s="22" t="s">
        <v>528</v>
      </c>
      <c r="C395" s="19" t="s">
        <v>791</v>
      </c>
      <c r="D395" s="39">
        <v>35</v>
      </c>
      <c r="E395" s="30" t="s">
        <v>645</v>
      </c>
      <c r="F395" s="27" t="s">
        <v>368</v>
      </c>
    </row>
    <row r="396" spans="2:6" x14ac:dyDescent="0.3">
      <c r="B396" s="22" t="s">
        <v>999</v>
      </c>
      <c r="C396" s="19" t="s">
        <v>658</v>
      </c>
      <c r="D396" s="39">
        <v>100</v>
      </c>
      <c r="E396" s="30" t="s">
        <v>645</v>
      </c>
      <c r="F396" s="27" t="s">
        <v>1000</v>
      </c>
    </row>
    <row r="397" spans="2:6" x14ac:dyDescent="0.3">
      <c r="B397" s="22" t="s">
        <v>792</v>
      </c>
      <c r="C397" s="19" t="s">
        <v>794</v>
      </c>
      <c r="D397" s="39">
        <v>255.6</v>
      </c>
      <c r="E397" s="30" t="s">
        <v>645</v>
      </c>
      <c r="F397" s="27"/>
    </row>
    <row r="398" spans="2:6" x14ac:dyDescent="0.3">
      <c r="B398" s="22" t="s">
        <v>793</v>
      </c>
      <c r="C398" s="19" t="s">
        <v>795</v>
      </c>
      <c r="D398" s="39">
        <v>303.5</v>
      </c>
      <c r="E398" s="30" t="s">
        <v>645</v>
      </c>
      <c r="F398" s="27"/>
    </row>
    <row r="399" spans="2:6" x14ac:dyDescent="0.3">
      <c r="B399" s="22" t="s">
        <v>529</v>
      </c>
      <c r="C399" s="19"/>
      <c r="D399" s="39"/>
      <c r="E399" s="30" t="s">
        <v>645</v>
      </c>
      <c r="F399" s="27" t="s">
        <v>530</v>
      </c>
    </row>
    <row r="400" spans="2:6" x14ac:dyDescent="0.3">
      <c r="B400" s="22" t="s">
        <v>531</v>
      </c>
      <c r="C400" s="19" t="s">
        <v>796</v>
      </c>
      <c r="D400" s="39">
        <v>612.5</v>
      </c>
      <c r="E400" s="30" t="s">
        <v>645</v>
      </c>
      <c r="F400" s="27" t="s">
        <v>1072</v>
      </c>
    </row>
    <row r="401" spans="2:6" x14ac:dyDescent="0.3">
      <c r="B401" s="22" t="s">
        <v>532</v>
      </c>
      <c r="C401" s="19" t="s">
        <v>824</v>
      </c>
      <c r="D401" s="39">
        <v>230</v>
      </c>
      <c r="E401" s="30" t="s">
        <v>645</v>
      </c>
      <c r="F401" s="27" t="s">
        <v>533</v>
      </c>
    </row>
    <row r="402" spans="2:6" x14ac:dyDescent="0.3">
      <c r="B402" s="22" t="s">
        <v>534</v>
      </c>
      <c r="C402" s="19" t="s">
        <v>797</v>
      </c>
      <c r="D402" s="39">
        <v>332</v>
      </c>
      <c r="E402" s="30" t="s">
        <v>645</v>
      </c>
      <c r="F402" s="27" t="s">
        <v>1074</v>
      </c>
    </row>
    <row r="403" spans="2:6" x14ac:dyDescent="0.3">
      <c r="B403" s="22" t="s">
        <v>535</v>
      </c>
      <c r="C403" s="19"/>
      <c r="D403" s="39"/>
      <c r="E403" s="30" t="s">
        <v>645</v>
      </c>
      <c r="F403" s="27"/>
    </row>
    <row r="404" spans="2:6" ht="17.25" thickBot="1" x14ac:dyDescent="0.35">
      <c r="B404" s="23" t="s">
        <v>1027</v>
      </c>
      <c r="C404" s="24" t="s">
        <v>1029</v>
      </c>
      <c r="D404" s="40">
        <v>90</v>
      </c>
      <c r="E404" s="31" t="s">
        <v>1028</v>
      </c>
      <c r="F404" s="28"/>
    </row>
  </sheetData>
  <mergeCells count="3">
    <mergeCell ref="E1:E2"/>
    <mergeCell ref="G76:H76"/>
    <mergeCell ref="G77:H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J20"/>
  <sheetViews>
    <sheetView showGridLines="0" workbookViewId="0">
      <selection activeCell="F5" sqref="F5"/>
    </sheetView>
  </sheetViews>
  <sheetFormatPr defaultRowHeight="15" x14ac:dyDescent="0.25"/>
  <cols>
    <col min="4" max="4" width="15.42578125" customWidth="1"/>
    <col min="5" max="5" width="15.85546875" customWidth="1"/>
  </cols>
  <sheetData>
    <row r="2" spans="3:10" ht="15.75" thickBot="1" x14ac:dyDescent="0.3"/>
    <row r="3" spans="3:10" ht="15.75" thickBot="1" x14ac:dyDescent="0.3">
      <c r="D3" s="88" t="s">
        <v>1157</v>
      </c>
      <c r="E3" s="361">
        <v>4600</v>
      </c>
    </row>
    <row r="4" spans="3:10" x14ac:dyDescent="0.25">
      <c r="D4" s="206" t="s">
        <v>1059</v>
      </c>
      <c r="E4" s="360">
        <v>6.25E-2</v>
      </c>
      <c r="F4" s="213" t="s">
        <v>1088</v>
      </c>
      <c r="G4" s="1" t="s">
        <v>1089</v>
      </c>
    </row>
    <row r="5" spans="3:10" x14ac:dyDescent="0.25">
      <c r="D5" s="206" t="s">
        <v>921</v>
      </c>
      <c r="E5" s="125">
        <f>E3/(1+E4)</f>
        <v>4329.411764705882</v>
      </c>
      <c r="F5" s="214">
        <v>2.9</v>
      </c>
      <c r="G5" s="215">
        <f>E5/F5</f>
        <v>1492.9006085192698</v>
      </c>
    </row>
    <row r="6" spans="3:10" x14ac:dyDescent="0.25">
      <c r="D6" t="s">
        <v>966</v>
      </c>
      <c r="E6" s="125">
        <f>E5*E4</f>
        <v>270.58823529411762</v>
      </c>
      <c r="F6" s="125"/>
      <c r="J6">
        <v>1091.5817142857143</v>
      </c>
    </row>
    <row r="7" spans="3:10" ht="15.75" thickBot="1" x14ac:dyDescent="0.3">
      <c r="D7" t="s">
        <v>970</v>
      </c>
      <c r="E7" s="150">
        <f>SUM(E5:E6)</f>
        <v>4600</v>
      </c>
      <c r="F7" s="125"/>
    </row>
    <row r="8" spans="3:10" ht="15.75" thickTop="1" x14ac:dyDescent="0.25">
      <c r="E8" s="125"/>
    </row>
    <row r="9" spans="3:10" x14ac:dyDescent="0.25">
      <c r="D9" s="139"/>
      <c r="E9" s="125"/>
    </row>
    <row r="12" spans="3:10" x14ac:dyDescent="0.25">
      <c r="C12" t="s">
        <v>968</v>
      </c>
      <c r="D12">
        <v>7.4999999999999997E-2</v>
      </c>
    </row>
    <row r="13" spans="3:10" x14ac:dyDescent="0.25">
      <c r="C13" t="s">
        <v>969</v>
      </c>
      <c r="D13">
        <v>6.25E-2</v>
      </c>
    </row>
    <row r="16" spans="3:10" x14ac:dyDescent="0.25">
      <c r="H16">
        <v>4520</v>
      </c>
    </row>
    <row r="17" spans="8:8" x14ac:dyDescent="0.25">
      <c r="H17">
        <v>-3022.89</v>
      </c>
    </row>
    <row r="18" spans="8:8" x14ac:dyDescent="0.25">
      <c r="H18">
        <v>-1328.13</v>
      </c>
    </row>
    <row r="19" spans="8:8" x14ac:dyDescent="0.25">
      <c r="H19">
        <v>-188.93</v>
      </c>
    </row>
    <row r="20" spans="8:8" x14ac:dyDescent="0.25">
      <c r="H20">
        <f>SUM(H16:H19)</f>
        <v>-19.949999999999989</v>
      </c>
    </row>
  </sheetData>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20"/>
  <sheetViews>
    <sheetView showGridLines="0" workbookViewId="0">
      <selection activeCell="I19" sqref="I19"/>
    </sheetView>
  </sheetViews>
  <sheetFormatPr defaultRowHeight="15" x14ac:dyDescent="0.25"/>
  <cols>
    <col min="3" max="3" width="22.5703125" customWidth="1"/>
  </cols>
  <sheetData>
    <row r="2" spans="4:12" x14ac:dyDescent="0.25">
      <c r="G2" s="133" t="s">
        <v>936</v>
      </c>
      <c r="H2" s="134"/>
      <c r="I2" s="134" t="s">
        <v>937</v>
      </c>
    </row>
    <row r="4" spans="4:12" x14ac:dyDescent="0.25">
      <c r="E4" s="135" t="s">
        <v>938</v>
      </c>
      <c r="F4" t="s">
        <v>947</v>
      </c>
      <c r="G4" s="135" t="s">
        <v>939</v>
      </c>
      <c r="H4" s="135" t="s">
        <v>940</v>
      </c>
      <c r="I4" s="135" t="s">
        <v>941</v>
      </c>
      <c r="K4" s="135" t="s">
        <v>942</v>
      </c>
      <c r="L4" s="135" t="s">
        <v>940</v>
      </c>
    </row>
    <row r="5" spans="4:12" x14ac:dyDescent="0.25">
      <c r="D5" t="s">
        <v>1</v>
      </c>
      <c r="E5" s="1">
        <v>79</v>
      </c>
      <c r="F5" s="136">
        <f>(E5*2)/60</f>
        <v>2.6333333333333333</v>
      </c>
      <c r="G5" s="1">
        <v>291</v>
      </c>
      <c r="H5" s="1">
        <v>1900</v>
      </c>
      <c r="I5">
        <f>H5/G5</f>
        <v>6.529209621993127</v>
      </c>
      <c r="K5" s="1">
        <v>2.9</v>
      </c>
      <c r="L5" s="1">
        <v>1745</v>
      </c>
    </row>
    <row r="6" spans="4:12" x14ac:dyDescent="0.25">
      <c r="D6" t="s">
        <v>885</v>
      </c>
      <c r="E6" s="1">
        <v>76</v>
      </c>
      <c r="F6" s="136">
        <f>(E6*2)/60</f>
        <v>2.5333333333333332</v>
      </c>
      <c r="G6" s="1">
        <v>222</v>
      </c>
      <c r="H6" s="1">
        <v>3072</v>
      </c>
      <c r="I6">
        <f>H6/G6</f>
        <v>13.837837837837839</v>
      </c>
      <c r="K6" s="1" t="s">
        <v>959</v>
      </c>
      <c r="L6" s="1">
        <v>2585</v>
      </c>
    </row>
    <row r="7" spans="4:12" x14ac:dyDescent="0.25">
      <c r="D7" t="s">
        <v>943</v>
      </c>
      <c r="E7" s="1">
        <v>58</v>
      </c>
      <c r="F7" s="136">
        <f>(E7*2)/60</f>
        <v>1.9333333333333333</v>
      </c>
      <c r="G7" s="1">
        <v>279</v>
      </c>
      <c r="H7" s="1">
        <v>3393</v>
      </c>
      <c r="I7">
        <f>H7/G7</f>
        <v>12.161290322580646</v>
      </c>
      <c r="K7" s="1">
        <v>2.2000000000000002</v>
      </c>
      <c r="L7" s="1">
        <v>3100</v>
      </c>
    </row>
    <row r="8" spans="4:12" x14ac:dyDescent="0.25">
      <c r="D8" t="s">
        <v>944</v>
      </c>
      <c r="E8" s="1">
        <v>85</v>
      </c>
      <c r="F8" s="136">
        <f>(E8*2)/60</f>
        <v>2.8333333333333335</v>
      </c>
      <c r="G8" s="1">
        <v>537</v>
      </c>
      <c r="H8" s="1">
        <v>6590</v>
      </c>
      <c r="I8">
        <f>H8/G8</f>
        <v>12.271880819366853</v>
      </c>
      <c r="K8" s="1">
        <v>3.2</v>
      </c>
      <c r="L8" s="1">
        <v>6585</v>
      </c>
    </row>
    <row r="9" spans="4:12" x14ac:dyDescent="0.25">
      <c r="G9" s="133" t="s">
        <v>945</v>
      </c>
      <c r="H9" s="133"/>
      <c r="I9" s="133"/>
      <c r="J9" s="133"/>
      <c r="K9" s="133" t="s">
        <v>946</v>
      </c>
    </row>
    <row r="11" spans="4:12" x14ac:dyDescent="0.25">
      <c r="E11" t="s">
        <v>921</v>
      </c>
      <c r="F11" s="140">
        <v>3893.11</v>
      </c>
    </row>
    <row r="12" spans="4:12" x14ac:dyDescent="0.25">
      <c r="E12" t="s">
        <v>965</v>
      </c>
      <c r="F12" s="142">
        <v>1839.84</v>
      </c>
    </row>
    <row r="13" spans="4:12" x14ac:dyDescent="0.25">
      <c r="E13" t="s">
        <v>966</v>
      </c>
      <c r="F13" s="140">
        <f>(IF(G13="pax",E19,E20))*F11</f>
        <v>253.05215000000001</v>
      </c>
      <c r="G13" s="10" t="s">
        <v>972</v>
      </c>
      <c r="H13" t="s">
        <v>973</v>
      </c>
    </row>
    <row r="14" spans="4:12" ht="15.75" thickBot="1" x14ac:dyDescent="0.3">
      <c r="E14" t="s">
        <v>970</v>
      </c>
      <c r="F14" s="141">
        <f>SUM(F11:F13)</f>
        <v>5986.0021500000003</v>
      </c>
    </row>
    <row r="15" spans="4:12" ht="15.75" thickTop="1" x14ac:dyDescent="0.25">
      <c r="E15" t="s">
        <v>967</v>
      </c>
      <c r="F15" s="126">
        <v>5986</v>
      </c>
    </row>
    <row r="16" spans="4:12" x14ac:dyDescent="0.25">
      <c r="E16" s="139" t="s">
        <v>971</v>
      </c>
      <c r="F16" s="125">
        <f>F15-F14</f>
        <v>-2.1500000002561137E-3</v>
      </c>
    </row>
    <row r="17" spans="1:5" x14ac:dyDescent="0.25">
      <c r="A17" s="143"/>
      <c r="B17" s="143"/>
    </row>
    <row r="19" spans="1:5" x14ac:dyDescent="0.25">
      <c r="D19" t="s">
        <v>968</v>
      </c>
      <c r="E19">
        <v>7.2499999999999995E-2</v>
      </c>
    </row>
    <row r="20" spans="1:5" x14ac:dyDescent="0.25">
      <c r="D20" t="s">
        <v>969</v>
      </c>
      <c r="E20">
        <v>6.5000000000000002E-2</v>
      </c>
    </row>
  </sheetData>
  <pageMargins left="0.7" right="0.7" top="0.75" bottom="0.75" header="0.3" footer="0.3"/>
  <pageSetup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2"/>
  <sheetViews>
    <sheetView workbookViewId="0">
      <selection activeCell="G13" sqref="A4:G13"/>
    </sheetView>
  </sheetViews>
  <sheetFormatPr defaultRowHeight="15" x14ac:dyDescent="0.25"/>
  <cols>
    <col min="1" max="1" width="9.140625" style="217"/>
    <col min="5" max="5" width="10.7109375" bestFit="1" customWidth="1"/>
    <col min="18" max="18" width="15.28515625" customWidth="1"/>
  </cols>
  <sheetData>
    <row r="2" spans="1:18" x14ac:dyDescent="0.25">
      <c r="J2" s="163"/>
    </row>
    <row r="3" spans="1:18" x14ac:dyDescent="0.25">
      <c r="A3" s="475" t="s">
        <v>1042</v>
      </c>
      <c r="B3" s="475"/>
      <c r="C3" s="475"/>
      <c r="D3" s="475"/>
      <c r="E3" s="475"/>
      <c r="F3" s="475"/>
      <c r="G3" s="475"/>
      <c r="H3" s="475"/>
      <c r="I3" s="475"/>
      <c r="J3" s="475"/>
      <c r="K3" s="475"/>
      <c r="L3" s="475"/>
      <c r="M3" s="475"/>
    </row>
    <row r="4" spans="1:18" x14ac:dyDescent="0.25">
      <c r="B4" s="7" t="s">
        <v>1</v>
      </c>
      <c r="C4" s="7" t="s">
        <v>1102</v>
      </c>
      <c r="D4" s="7" t="s">
        <v>2</v>
      </c>
      <c r="E4" s="7" t="s">
        <v>3</v>
      </c>
      <c r="F4" s="7" t="s">
        <v>885</v>
      </c>
      <c r="G4" s="7" t="s">
        <v>1095</v>
      </c>
      <c r="H4" s="7"/>
      <c r="I4" s="134" t="s">
        <v>1</v>
      </c>
      <c r="J4" s="134" t="s">
        <v>1102</v>
      </c>
      <c r="K4" s="134" t="s">
        <v>2</v>
      </c>
      <c r="L4" s="134" t="s">
        <v>3</v>
      </c>
      <c r="M4" s="134" t="s">
        <v>885</v>
      </c>
      <c r="N4" s="134" t="s">
        <v>1095</v>
      </c>
      <c r="O4" s="134"/>
      <c r="P4" t="s">
        <v>1052</v>
      </c>
    </row>
    <row r="5" spans="1:18" x14ac:dyDescent="0.25">
      <c r="A5" s="217" t="s">
        <v>1050</v>
      </c>
      <c r="B5" s="259">
        <v>1175</v>
      </c>
      <c r="C5" s="259"/>
      <c r="D5" s="259">
        <v>1775</v>
      </c>
      <c r="E5" s="259">
        <v>1795</v>
      </c>
      <c r="F5" s="259">
        <v>1400</v>
      </c>
      <c r="G5" s="259"/>
      <c r="I5" s="35"/>
      <c r="J5" s="35"/>
      <c r="K5" s="35"/>
      <c r="L5" s="35"/>
      <c r="M5" s="35"/>
      <c r="N5" s="35"/>
      <c r="P5" t="s">
        <v>1053</v>
      </c>
    </row>
    <row r="6" spans="1:18" x14ac:dyDescent="0.25">
      <c r="A6" s="217" t="s">
        <v>1048</v>
      </c>
      <c r="B6" s="259">
        <v>1234</v>
      </c>
      <c r="C6" s="259"/>
      <c r="D6" s="259">
        <v>1865</v>
      </c>
      <c r="E6" s="259">
        <v>1885</v>
      </c>
      <c r="F6" s="259">
        <v>1470</v>
      </c>
      <c r="G6" s="259"/>
      <c r="I6" s="261">
        <f>(B6-B5)/B5</f>
        <v>5.0212765957446809E-2</v>
      </c>
      <c r="J6" s="261"/>
      <c r="K6" s="261">
        <f t="shared" ref="K6:M6" si="0">(D6-D5)/D5</f>
        <v>5.0704225352112678E-2</v>
      </c>
      <c r="L6" s="261">
        <f t="shared" si="0"/>
        <v>5.0139275766016712E-2</v>
      </c>
      <c r="M6" s="261">
        <f t="shared" si="0"/>
        <v>0.05</v>
      </c>
      <c r="N6" s="1"/>
      <c r="P6" t="s">
        <v>1054</v>
      </c>
    </row>
    <row r="7" spans="1:18" x14ac:dyDescent="0.25">
      <c r="A7" s="217" t="s">
        <v>1049</v>
      </c>
      <c r="B7" s="259">
        <f>B8/1.025</f>
        <v>1264.3902439024391</v>
      </c>
      <c r="C7" s="259"/>
      <c r="D7" s="259">
        <f t="shared" ref="D7:F7" si="1">D8/1.025</f>
        <v>1910.2439024390246</v>
      </c>
      <c r="E7" s="259">
        <f t="shared" si="1"/>
        <v>1930.7317073170734</v>
      </c>
      <c r="F7" s="259">
        <f t="shared" si="1"/>
        <v>1506.3414634146343</v>
      </c>
      <c r="G7" s="259"/>
      <c r="I7" s="261">
        <f t="shared" ref="I7:J12" si="2">(B7-B6)/B6</f>
        <v>2.4627426177017117E-2</v>
      </c>
      <c r="J7" s="261"/>
      <c r="K7" s="261">
        <f t="shared" ref="K7:K12" si="3">(D7-D6)/D6</f>
        <v>2.4259465114758513E-2</v>
      </c>
      <c r="L7" s="261">
        <f t="shared" ref="L7:L10" si="4">(E7-E6)/E6</f>
        <v>2.4260852688102606E-2</v>
      </c>
      <c r="M7" s="261">
        <f t="shared" ref="M7:M10" si="5">(F7-F6)/F6</f>
        <v>2.472208395553353E-2</v>
      </c>
      <c r="N7" s="1"/>
      <c r="P7" t="s">
        <v>1055</v>
      </c>
    </row>
    <row r="8" spans="1:18" x14ac:dyDescent="0.25">
      <c r="A8" s="217">
        <v>2017</v>
      </c>
      <c r="B8" s="259">
        <v>1296</v>
      </c>
      <c r="C8" s="259"/>
      <c r="D8" s="259">
        <v>1958</v>
      </c>
      <c r="E8" s="259">
        <v>1979</v>
      </c>
      <c r="F8" s="259">
        <v>1544</v>
      </c>
      <c r="G8" s="259"/>
      <c r="I8" s="261">
        <f t="shared" si="2"/>
        <v>2.4999999999999918E-2</v>
      </c>
      <c r="J8" s="261"/>
      <c r="K8" s="261">
        <f t="shared" si="3"/>
        <v>2.4999999999999876E-2</v>
      </c>
      <c r="L8" s="261">
        <f t="shared" si="4"/>
        <v>2.499999999999987E-2</v>
      </c>
      <c r="M8" s="261">
        <f t="shared" si="5"/>
        <v>2.4999999999999901E-2</v>
      </c>
      <c r="N8" s="1"/>
    </row>
    <row r="9" spans="1:18" x14ac:dyDescent="0.25">
      <c r="A9" s="217">
        <v>2018</v>
      </c>
      <c r="B9" s="259">
        <v>1423</v>
      </c>
      <c r="C9" s="259"/>
      <c r="D9" s="259">
        <v>2158</v>
      </c>
      <c r="E9" s="259">
        <v>2151</v>
      </c>
      <c r="F9" s="259">
        <v>1700</v>
      </c>
      <c r="G9" s="259"/>
      <c r="I9" s="261">
        <f t="shared" si="2"/>
        <v>9.7993827160493832E-2</v>
      </c>
      <c r="J9" s="261"/>
      <c r="K9" s="261">
        <f t="shared" si="3"/>
        <v>0.10214504596527069</v>
      </c>
      <c r="L9" s="261">
        <f t="shared" si="4"/>
        <v>8.6912582112177866E-2</v>
      </c>
      <c r="M9" s="261">
        <f t="shared" si="5"/>
        <v>0.10103626943005181</v>
      </c>
      <c r="N9" s="1"/>
    </row>
    <row r="10" spans="1:18" x14ac:dyDescent="0.25">
      <c r="A10" s="217">
        <v>2019</v>
      </c>
      <c r="B10" s="259">
        <v>1500</v>
      </c>
      <c r="C10" s="259"/>
      <c r="D10" s="259">
        <v>2265</v>
      </c>
      <c r="E10" s="259">
        <v>2600</v>
      </c>
      <c r="F10" s="259">
        <v>1800</v>
      </c>
      <c r="G10" s="259"/>
      <c r="I10" s="261">
        <f t="shared" si="2"/>
        <v>5.4111033028812365E-2</v>
      </c>
      <c r="J10" s="261"/>
      <c r="K10" s="261">
        <f t="shared" si="3"/>
        <v>4.958294717330862E-2</v>
      </c>
      <c r="L10" s="261">
        <f t="shared" si="4"/>
        <v>0.20874012087401209</v>
      </c>
      <c r="M10" s="261">
        <f t="shared" si="5"/>
        <v>5.8823529411764705E-2</v>
      </c>
      <c r="N10" s="1"/>
    </row>
    <row r="11" spans="1:18" x14ac:dyDescent="0.25">
      <c r="A11" s="217">
        <v>2020</v>
      </c>
      <c r="B11" s="259">
        <v>1525</v>
      </c>
      <c r="C11" s="259">
        <v>1850</v>
      </c>
      <c r="D11" s="259">
        <v>2275</v>
      </c>
      <c r="E11" s="259">
        <v>2650</v>
      </c>
      <c r="F11" s="259">
        <v>1800</v>
      </c>
      <c r="G11" s="259">
        <v>1100</v>
      </c>
      <c r="H11" s="258"/>
      <c r="I11" s="261">
        <f t="shared" si="2"/>
        <v>1.6666666666666666E-2</v>
      </c>
      <c r="J11" s="1"/>
      <c r="K11" s="261">
        <f t="shared" si="3"/>
        <v>4.4150110375275938E-3</v>
      </c>
      <c r="L11" s="261">
        <f t="shared" ref="L11:L12" si="6">(E11-E10)/E10</f>
        <v>1.9230769230769232E-2</v>
      </c>
      <c r="M11" s="261">
        <f t="shared" ref="M11:N12" si="7">(F11-F10)/F10</f>
        <v>0</v>
      </c>
      <c r="N11" s="1"/>
    </row>
    <row r="12" spans="1:18" ht="15.75" x14ac:dyDescent="0.25">
      <c r="A12" s="217">
        <v>2022</v>
      </c>
      <c r="B12" s="260">
        <v>1570.75</v>
      </c>
      <c r="C12" s="260">
        <v>1999.998</v>
      </c>
      <c r="D12" s="260">
        <v>2343.25</v>
      </c>
      <c r="E12" s="260">
        <v>2729.5</v>
      </c>
      <c r="F12" s="260">
        <v>1854</v>
      </c>
      <c r="G12" s="260">
        <v>1199.99</v>
      </c>
      <c r="I12" s="261">
        <f t="shared" si="2"/>
        <v>0.03</v>
      </c>
      <c r="J12" s="261">
        <f t="shared" si="2"/>
        <v>8.1080000000000027E-2</v>
      </c>
      <c r="K12" s="261">
        <f t="shared" si="3"/>
        <v>0.03</v>
      </c>
      <c r="L12" s="261">
        <f t="shared" si="6"/>
        <v>0.03</v>
      </c>
      <c r="M12" s="261">
        <f t="shared" si="7"/>
        <v>0.03</v>
      </c>
      <c r="N12" s="261">
        <f t="shared" si="7"/>
        <v>9.0900000000000009E-2</v>
      </c>
    </row>
    <row r="13" spans="1:18" ht="15.75" x14ac:dyDescent="0.25">
      <c r="B13" s="262"/>
      <c r="C13" s="262"/>
      <c r="D13" s="262"/>
      <c r="E13" s="262"/>
      <c r="F13" s="262"/>
      <c r="G13" s="262"/>
      <c r="I13" s="263"/>
      <c r="J13" s="263"/>
      <c r="K13" s="263"/>
      <c r="L13" s="263"/>
      <c r="M13" s="263"/>
      <c r="N13" s="263"/>
    </row>
    <row r="14" spans="1:18" ht="15.75" x14ac:dyDescent="0.25">
      <c r="B14" s="262"/>
      <c r="C14" s="262"/>
      <c r="D14" s="262"/>
      <c r="E14" s="262"/>
      <c r="F14" s="262"/>
      <c r="G14" s="262"/>
      <c r="I14" s="263"/>
      <c r="J14" s="263"/>
      <c r="K14" s="263"/>
      <c r="L14" s="263"/>
      <c r="M14" s="263"/>
      <c r="N14" s="263"/>
    </row>
    <row r="15" spans="1:18" x14ac:dyDescent="0.25">
      <c r="A15" s="475" t="s">
        <v>1043</v>
      </c>
      <c r="B15" s="475"/>
      <c r="C15" s="475"/>
      <c r="D15" s="475"/>
      <c r="E15" s="475"/>
      <c r="F15" s="475"/>
      <c r="G15" s="475"/>
      <c r="H15" s="475"/>
      <c r="I15" s="475"/>
      <c r="J15" s="475"/>
      <c r="K15" s="475"/>
      <c r="L15" s="475"/>
      <c r="M15" s="475"/>
      <c r="R15" t="s">
        <v>1086</v>
      </c>
    </row>
    <row r="16" spans="1:18" x14ac:dyDescent="0.25">
      <c r="B16" t="s">
        <v>1</v>
      </c>
      <c r="C16" t="s">
        <v>1051</v>
      </c>
      <c r="D16" t="s">
        <v>2</v>
      </c>
      <c r="E16" t="s">
        <v>3</v>
      </c>
      <c r="F16" t="s">
        <v>885</v>
      </c>
      <c r="I16" t="s">
        <v>1</v>
      </c>
      <c r="J16" t="s">
        <v>1051</v>
      </c>
      <c r="K16" t="s">
        <v>2</v>
      </c>
      <c r="L16" t="s">
        <v>3</v>
      </c>
      <c r="M16" t="s">
        <v>885</v>
      </c>
      <c r="R16">
        <v>2275</v>
      </c>
    </row>
    <row r="17" spans="1:18" x14ac:dyDescent="0.25">
      <c r="A17" s="217">
        <v>2017</v>
      </c>
      <c r="B17">
        <v>1056</v>
      </c>
      <c r="D17">
        <v>1658</v>
      </c>
      <c r="E17">
        <v>1429</v>
      </c>
      <c r="F17">
        <v>1304</v>
      </c>
      <c r="R17">
        <v>1800</v>
      </c>
    </row>
    <row r="18" spans="1:18" x14ac:dyDescent="0.25">
      <c r="A18" s="217">
        <v>2018</v>
      </c>
      <c r="B18">
        <v>1183</v>
      </c>
      <c r="D18">
        <v>1858</v>
      </c>
      <c r="E18">
        <v>1601</v>
      </c>
      <c r="F18">
        <v>1460</v>
      </c>
      <c r="I18" s="161">
        <f>(B18-B17)/B17</f>
        <v>0.12026515151515152</v>
      </c>
      <c r="J18" s="161"/>
      <c r="K18" s="161">
        <f t="shared" ref="K18:K19" si="8">(D18-D17)/D17</f>
        <v>0.12062726176115803</v>
      </c>
      <c r="L18" s="161">
        <f t="shared" ref="L18:L19" si="9">(E18-E17)/E17</f>
        <v>0.12036389083275018</v>
      </c>
      <c r="M18" s="161">
        <f t="shared" ref="M18:M19" si="10">(F18-F17)/F17</f>
        <v>0.1196319018404908</v>
      </c>
      <c r="R18">
        <v>1525</v>
      </c>
    </row>
    <row r="19" spans="1:18" x14ac:dyDescent="0.25">
      <c r="A19" s="217">
        <v>2019</v>
      </c>
      <c r="B19">
        <v>1254</v>
      </c>
      <c r="D19">
        <v>1965</v>
      </c>
      <c r="E19">
        <v>2000</v>
      </c>
      <c r="F19">
        <v>1554</v>
      </c>
      <c r="I19" s="161">
        <f t="shared" ref="I19" si="11">(B19-B18)/B18</f>
        <v>6.0016906170752324E-2</v>
      </c>
      <c r="J19" s="161"/>
      <c r="K19" s="161">
        <f t="shared" si="8"/>
        <v>5.7588805166846072E-2</v>
      </c>
      <c r="L19" s="161">
        <f t="shared" si="9"/>
        <v>0.24921923797626483</v>
      </c>
      <c r="M19" s="161">
        <f t="shared" si="10"/>
        <v>6.4383561643835616E-2</v>
      </c>
      <c r="R19">
        <v>2650</v>
      </c>
    </row>
    <row r="20" spans="1:18" x14ac:dyDescent="0.25">
      <c r="I20" s="161"/>
      <c r="J20" s="161"/>
      <c r="K20" s="161"/>
      <c r="L20" s="161"/>
      <c r="M20" s="161"/>
    </row>
    <row r="21" spans="1:18" x14ac:dyDescent="0.25">
      <c r="I21" s="161"/>
      <c r="J21" s="161"/>
      <c r="K21" s="161"/>
      <c r="L21" s="161"/>
      <c r="M21" s="161"/>
    </row>
    <row r="22" spans="1:18" x14ac:dyDescent="0.25">
      <c r="I22" s="161"/>
      <c r="J22" s="161"/>
      <c r="K22" s="161"/>
      <c r="L22" s="161"/>
      <c r="M22" s="161"/>
    </row>
  </sheetData>
  <mergeCells count="2">
    <mergeCell ref="A3:M3"/>
    <mergeCell ref="A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95</vt:i4>
      </vt:variant>
    </vt:vector>
  </HeadingPairs>
  <TitlesOfParts>
    <vt:vector size="103" baseType="lpstr">
      <vt:lpstr>Customer Quote Page</vt:lpstr>
      <vt:lpstr>Lookup Calculator</vt:lpstr>
      <vt:lpstr>Multi Leg Calculator</vt:lpstr>
      <vt:lpstr>Aircraft Variables</vt:lpstr>
      <vt:lpstr>Airports</vt:lpstr>
      <vt:lpstr>Tax Calculator</vt:lpstr>
      <vt:lpstr>Information</vt:lpstr>
      <vt:lpstr>Historic Rates</vt:lpstr>
      <vt:lpstr>Aircraft_LdFees</vt:lpstr>
      <vt:lpstr>Aircraft_Minutes</vt:lpstr>
      <vt:lpstr>Aircraft_Speeds</vt:lpstr>
      <vt:lpstr>Aircraft_Type</vt:lpstr>
      <vt:lpstr>Aircraft_Variables</vt:lpstr>
      <vt:lpstr>Airports</vt:lpstr>
      <vt:lpstr>Avgas_Cost</vt:lpstr>
      <vt:lpstr>B200_DryRate</vt:lpstr>
      <vt:lpstr>B200_Fuel_Type</vt:lpstr>
      <vt:lpstr>B200_Ld_fee</vt:lpstr>
      <vt:lpstr>B200_Min</vt:lpstr>
      <vt:lpstr>B200_Payload</vt:lpstr>
      <vt:lpstr>B200_PPH</vt:lpstr>
      <vt:lpstr>B200_Rate</vt:lpstr>
      <vt:lpstr>B200_Speed_Min</vt:lpstr>
      <vt:lpstr>B200_Tax_Gal</vt:lpstr>
      <vt:lpstr>B200_TO_Fuel</vt:lpstr>
      <vt:lpstr>B99_Dry_Rate</vt:lpstr>
      <vt:lpstr>B99_Fuel_Type</vt:lpstr>
      <vt:lpstr>B99_Ld_Fee</vt:lpstr>
      <vt:lpstr>B99_Min</vt:lpstr>
      <vt:lpstr>B99_Payload</vt:lpstr>
      <vt:lpstr>B99_PPH</vt:lpstr>
      <vt:lpstr>B99_Rate</vt:lpstr>
      <vt:lpstr>B99_Speed_Min</vt:lpstr>
      <vt:lpstr>B99_Tax_Gal</vt:lpstr>
      <vt:lpstr>B99_TO_Fuel</vt:lpstr>
      <vt:lpstr>DC3_Tax_Gal</vt:lpstr>
      <vt:lpstr>DC3T_Tax_Gal</vt:lpstr>
      <vt:lpstr>Heavy_Metro_Ldg_Fee</vt:lpstr>
      <vt:lpstr>Heavy_Metro_Min</vt:lpstr>
      <vt:lpstr>Heavy_Metro_Payload</vt:lpstr>
      <vt:lpstr>Heavy_Metro_PPH</vt:lpstr>
      <vt:lpstr>Heavy_Metro_Rate</vt:lpstr>
      <vt:lpstr>Heavy_Metro_Speed_Min</vt:lpstr>
      <vt:lpstr>Heavy_Metro_Tax_Gal</vt:lpstr>
      <vt:lpstr>Heavy_Metro_TO_Fuel</vt:lpstr>
      <vt:lpstr>Jet_Cost</vt:lpstr>
      <vt:lpstr>Multi_Leg_AC</vt:lpstr>
      <vt:lpstr>Navajo_Dry_rate</vt:lpstr>
      <vt:lpstr>Navajo_Fuel_Type</vt:lpstr>
      <vt:lpstr>Navajo_Ld_Fee</vt:lpstr>
      <vt:lpstr>Navajo_Min</vt:lpstr>
      <vt:lpstr>Navajo_Payload</vt:lpstr>
      <vt:lpstr>Navajo_PPH</vt:lpstr>
      <vt:lpstr>Navajo_Rate</vt:lpstr>
      <vt:lpstr>Navajo_Speed_Min</vt:lpstr>
      <vt:lpstr>Navajo_Tax_gal</vt:lpstr>
      <vt:lpstr>Navajo_TO_Fuel</vt:lpstr>
      <vt:lpstr>'Customer Quote Page'!Print_Area</vt:lpstr>
      <vt:lpstr>'Lookup Calculator'!Print_Area</vt:lpstr>
      <vt:lpstr>'Multi Leg Calculator'!Print_Area</vt:lpstr>
      <vt:lpstr>SA227_Dry_Rate</vt:lpstr>
      <vt:lpstr>SA227_Fuel_Type</vt:lpstr>
      <vt:lpstr>SA227_Ld_Fee</vt:lpstr>
      <vt:lpstr>SA227_Min</vt:lpstr>
      <vt:lpstr>SA227_Payload</vt:lpstr>
      <vt:lpstr>SA227_PPH</vt:lpstr>
      <vt:lpstr>SA227_Rate</vt:lpstr>
      <vt:lpstr>SA227_Speed_Min</vt:lpstr>
      <vt:lpstr>SA227_Tax_Gal</vt:lpstr>
      <vt:lpstr>SA227_TO_Fuel</vt:lpstr>
      <vt:lpstr>SD330_Dry_Rate</vt:lpstr>
      <vt:lpstr>SD330_Fuel_Type</vt:lpstr>
      <vt:lpstr>SD330_Ld_Fee</vt:lpstr>
      <vt:lpstr>SD330_Min</vt:lpstr>
      <vt:lpstr>SD330_Payload</vt:lpstr>
      <vt:lpstr>SD330_PPH</vt:lpstr>
      <vt:lpstr>SD330_Rate</vt:lpstr>
      <vt:lpstr>SD330_Speed_Min</vt:lpstr>
      <vt:lpstr>SD330_Tax_Gal</vt:lpstr>
      <vt:lpstr>SD330_TO_Fuel</vt:lpstr>
      <vt:lpstr>State_Ld_Fee</vt:lpstr>
      <vt:lpstr>Super_Dry_Rate</vt:lpstr>
      <vt:lpstr>Super_Fuel_Type</vt:lpstr>
      <vt:lpstr>Super_Ld_Fee</vt:lpstr>
      <vt:lpstr>Super_Min</vt:lpstr>
      <vt:lpstr>Super_Payload</vt:lpstr>
      <vt:lpstr>Super_PPH</vt:lpstr>
      <vt:lpstr>Super_Rate</vt:lpstr>
      <vt:lpstr>Super_Speed_Min</vt:lpstr>
      <vt:lpstr>Super_Tax_gal</vt:lpstr>
      <vt:lpstr>Super_TO_Fuel</vt:lpstr>
      <vt:lpstr>Tax_Type</vt:lpstr>
      <vt:lpstr>Taxes</vt:lpstr>
      <vt:lpstr>Volpar_Dry_Rate</vt:lpstr>
      <vt:lpstr>Volpar_Fuel_Type</vt:lpstr>
      <vt:lpstr>Volpar_Ld_Fee</vt:lpstr>
      <vt:lpstr>Volpar_Min</vt:lpstr>
      <vt:lpstr>Volpar_Payload</vt:lpstr>
      <vt:lpstr>Volpar_PPH</vt:lpstr>
      <vt:lpstr>Volpar_Rate</vt:lpstr>
      <vt:lpstr>Volpar_Speed_Min</vt:lpstr>
      <vt:lpstr>Volpar_Tax_Gal</vt:lpstr>
      <vt:lpstr>Volpar_to_Fuel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Larson</dc:creator>
  <cp:lastModifiedBy>alan transnorthern.com</cp:lastModifiedBy>
  <cp:lastPrinted>2021-04-01T17:31:42Z</cp:lastPrinted>
  <dcterms:created xsi:type="dcterms:W3CDTF">2009-02-01T22:00:21Z</dcterms:created>
  <dcterms:modified xsi:type="dcterms:W3CDTF">2024-09-24T17:39:22Z</dcterms:modified>
</cp:coreProperties>
</file>